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workbookProtection workbookPassword="D65C" lockStructure="1"/>
  <bookViews>
    <workbookView xWindow="10305" yWindow="15" windowWidth="10200" windowHeight="9150" activeTab="1"/>
  </bookViews>
  <sheets>
    <sheet name="SMA" sheetId="5" r:id="rId1"/>
    <sheet name="price.table" sheetId="6" r:id="rId2"/>
  </sheets>
  <definedNames>
    <definedName name="FIRMS">price.table!$Q$4</definedName>
    <definedName name="IdxR">price.table!$S$5:$U$5</definedName>
    <definedName name="SKU">SMA!$C$6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6" l="1"/>
  <c r="K4" i="6"/>
  <c r="J5" i="6"/>
  <c r="K5" i="6"/>
  <c r="J6" i="6"/>
  <c r="K6" i="6"/>
  <c r="J7" i="6"/>
  <c r="K7" i="6"/>
  <c r="J8" i="6"/>
  <c r="K8" i="6"/>
  <c r="J9" i="6"/>
  <c r="K9" i="6"/>
  <c r="J10" i="6"/>
  <c r="K10" i="6"/>
  <c r="J11" i="6"/>
  <c r="K11" i="6"/>
  <c r="J12" i="6"/>
  <c r="K12" i="6"/>
  <c r="J13" i="6"/>
  <c r="K13" i="6"/>
  <c r="J14" i="6"/>
  <c r="K14" i="6"/>
  <c r="J15" i="6"/>
  <c r="K15" i="6"/>
  <c r="J16" i="6"/>
  <c r="K16" i="6"/>
  <c r="J17" i="6"/>
  <c r="K17" i="6"/>
  <c r="J18" i="6"/>
  <c r="K18" i="6"/>
  <c r="J19" i="6"/>
  <c r="K19" i="6"/>
  <c r="J20" i="6"/>
  <c r="K20" i="6"/>
  <c r="J21" i="6"/>
  <c r="K21" i="6"/>
  <c r="J22" i="6"/>
  <c r="K22" i="6"/>
  <c r="J23" i="6"/>
  <c r="K23" i="6"/>
  <c r="R4" i="6"/>
  <c r="Q4" i="6" s="1"/>
  <c r="S4" i="6"/>
  <c r="T4" i="6"/>
  <c r="U4" i="6"/>
  <c r="L23" i="6" l="1"/>
  <c r="M23" i="6" s="1"/>
  <c r="L21" i="6"/>
  <c r="M21" i="6" s="1"/>
  <c r="L19" i="6"/>
  <c r="M19" i="6" s="1"/>
  <c r="L17" i="6"/>
  <c r="M17" i="6" s="1"/>
  <c r="L15" i="6"/>
  <c r="M15" i="6" s="1"/>
  <c r="L13" i="6"/>
  <c r="M13" i="6" s="1"/>
  <c r="L11" i="6"/>
  <c r="M11" i="6" s="1"/>
  <c r="L9" i="6"/>
  <c r="M9" i="6" s="1"/>
  <c r="L7" i="6"/>
  <c r="M7" i="6" s="1"/>
  <c r="L5" i="6"/>
  <c r="M5" i="6" s="1"/>
  <c r="L22" i="6"/>
  <c r="M22" i="6" s="1"/>
  <c r="L20" i="6"/>
  <c r="M20" i="6" s="1"/>
  <c r="L18" i="6"/>
  <c r="M18" i="6" s="1"/>
  <c r="L16" i="6"/>
  <c r="M16" i="6" s="1"/>
  <c r="L14" i="6"/>
  <c r="M14" i="6" s="1"/>
  <c r="L12" i="6"/>
  <c r="M12" i="6" s="1"/>
  <c r="L10" i="6"/>
  <c r="M10" i="6" s="1"/>
  <c r="L8" i="6"/>
  <c r="M8" i="6" s="1"/>
  <c r="L6" i="6"/>
  <c r="M6" i="6" s="1"/>
  <c r="L4" i="6"/>
  <c r="M4" i="6" s="1"/>
  <c r="C6" i="5"/>
  <c r="S5" i="6" l="1" a="1"/>
  <c r="S5" i="6" s="1"/>
  <c r="U5" i="6" a="1"/>
  <c r="U5" i="6" s="1"/>
  <c r="T5" i="6" a="1"/>
  <c r="T5" i="6" s="1"/>
  <c r="W4" i="6"/>
  <c r="X4" i="6" s="1"/>
  <c r="C4" i="5" s="1"/>
  <c r="N21" i="6" l="1" a="1"/>
  <c r="N21" i="6" s="1"/>
  <c r="N9" i="6" a="1"/>
  <c r="N9" i="6" s="1"/>
  <c r="N19" i="6" a="1"/>
  <c r="N19" i="6" s="1"/>
  <c r="N14" i="6" a="1"/>
  <c r="N14" i="6" s="1"/>
  <c r="N4" i="6" a="1"/>
  <c r="N4" i="6" s="1"/>
  <c r="N17" i="6" a="1"/>
  <c r="N17" i="6" s="1"/>
  <c r="O17" i="6" s="1"/>
  <c r="N7" i="6" a="1"/>
  <c r="N7" i="6" s="1"/>
  <c r="N13" i="6" a="1"/>
  <c r="N13" i="6" s="1"/>
  <c r="N10" i="6" a="1"/>
  <c r="N10" i="6" s="1"/>
  <c r="N22" i="6" a="1"/>
  <c r="N22" i="6" s="1"/>
  <c r="O22" i="6" s="1"/>
  <c r="N18" i="6" a="1"/>
  <c r="N18" i="6" s="1"/>
  <c r="O18" i="6" s="1"/>
  <c r="N15" i="6" a="1"/>
  <c r="N15" i="6" s="1"/>
  <c r="N5" i="6" a="1"/>
  <c r="N5" i="6" s="1"/>
  <c r="N20" i="6" a="1"/>
  <c r="N20" i="6" s="1"/>
  <c r="O20" i="6" s="1"/>
  <c r="N8" i="6" a="1"/>
  <c r="N8" i="6" s="1"/>
  <c r="N11" i="6" a="1"/>
  <c r="N11" i="6" s="1"/>
  <c r="N23" i="6" a="1"/>
  <c r="N23" i="6" s="1"/>
  <c r="N16" i="6" a="1"/>
  <c r="N16" i="6" s="1"/>
  <c r="O16" i="6" s="1"/>
  <c r="N6" i="6" a="1"/>
  <c r="N6" i="6" s="1"/>
  <c r="O6" i="6" s="1"/>
  <c r="N12" i="6" a="1"/>
  <c r="N12" i="6" s="1"/>
  <c r="O13" i="6"/>
  <c r="O12" i="6"/>
  <c r="O23" i="6"/>
  <c r="O14" i="6"/>
  <c r="O7" i="6"/>
  <c r="O9" i="6"/>
  <c r="O10" i="6"/>
  <c r="O15" i="6"/>
  <c r="O21" i="6"/>
  <c r="O19" i="6"/>
  <c r="O8" i="6"/>
  <c r="O4" i="6"/>
  <c r="O5" i="6"/>
  <c r="O11" i="6"/>
  <c r="C7" i="5" l="1"/>
  <c r="C9" i="5"/>
  <c r="C11" i="5"/>
  <c r="C8" i="5"/>
  <c r="C12" i="5" a="1"/>
  <c r="C12" i="5" s="1"/>
  <c r="C10" i="5"/>
</calcChain>
</file>

<file path=xl/sharedStrings.xml><?xml version="1.0" encoding="utf-8"?>
<sst xmlns="http://schemas.openxmlformats.org/spreadsheetml/2006/main" count="52" uniqueCount="52">
  <si>
    <t>Цена закупки</t>
  </si>
  <si>
    <t>Базовая цена</t>
  </si>
  <si>
    <t>Базовая цена мин.</t>
  </si>
  <si>
    <t>эксклюзив</t>
  </si>
  <si>
    <t>незначительная</t>
  </si>
  <si>
    <t>заметная</t>
  </si>
  <si>
    <t>существенная</t>
  </si>
  <si>
    <t>сильная</t>
  </si>
  <si>
    <t>очень сильная</t>
  </si>
  <si>
    <t>предельная</t>
  </si>
  <si>
    <t>Предельно низкий: Цена конкуренции &lt; Цена закупки [1]</t>
  </si>
  <si>
    <t>Очень низкий: Цена конкуренции &lt; Мин. базовая цена [2]</t>
  </si>
  <si>
    <t>Низкий: Мин. базовая цена &lt; Цена конкуренции &lt; Базовая цена [3]</t>
  </si>
  <si>
    <t>Средний: Мин. цена &lt; Базовая цена &lt; Цена конкуренции [4]</t>
  </si>
  <si>
    <t>|</t>
  </si>
  <si>
    <t>f</t>
  </si>
  <si>
    <t>Alfa</t>
  </si>
  <si>
    <t>IdxU</t>
  </si>
  <si>
    <t>Pmin</t>
  </si>
  <si>
    <t>Score</t>
  </si>
  <si>
    <t>Степень конкуренции по ассортименту:</t>
  </si>
  <si>
    <t>P*</t>
  </si>
  <si>
    <t>Высокий: Базовая цена = Мин. цена [5]</t>
  </si>
  <si>
    <t>Предприятие</t>
  </si>
  <si>
    <t>Конкуренты</t>
  </si>
  <si>
    <t>I</t>
  </si>
  <si>
    <t>II</t>
  </si>
  <si>
    <t>III</t>
  </si>
  <si>
    <r>
      <t>Уровень конкурентоспособности цен</t>
    </r>
    <r>
      <rPr>
        <sz val="11"/>
        <color theme="3" tint="-0.499984740745262"/>
        <rFont val="Tahoma"/>
        <family val="2"/>
        <charset val="204"/>
      </rPr>
      <t/>
    </r>
  </si>
  <si>
    <t>Позиция № 01</t>
  </si>
  <si>
    <t>Позиция № 02</t>
  </si>
  <si>
    <t>Позиция № 03</t>
  </si>
  <si>
    <t>Позиция № 04</t>
  </si>
  <si>
    <t>Позиция № 05</t>
  </si>
  <si>
    <t>Позиция № 06</t>
  </si>
  <si>
    <t>Позиция № 07</t>
  </si>
  <si>
    <t>Позиция № 08</t>
  </si>
  <si>
    <t>Позиция № 09</t>
  </si>
  <si>
    <t>Позиция № 10</t>
  </si>
  <si>
    <t>Позиция № 11</t>
  </si>
  <si>
    <t>Позиция № 12</t>
  </si>
  <si>
    <t>Позиция № 13</t>
  </si>
  <si>
    <t>Позиция № 14</t>
  </si>
  <si>
    <t>Позиция № 15</t>
  </si>
  <si>
    <t>Позиция № 16</t>
  </si>
  <si>
    <t>Позиция № 17</t>
  </si>
  <si>
    <t>Позиция № 18</t>
  </si>
  <si>
    <t>Позиция № 19</t>
  </si>
  <si>
    <t>Позиция № 20</t>
  </si>
  <si>
    <t>Товар</t>
  </si>
  <si>
    <r>
      <t>Оценка УКЦ: от 1 до 5 баллов</t>
    </r>
    <r>
      <rPr>
        <sz val="11"/>
        <color theme="3" tint="-0.499984740745262"/>
        <rFont val="Tahoma"/>
        <family val="2"/>
        <charset val="204"/>
      </rPr>
      <t xml:space="preserve"> (мин. норма = 4,2 балла)</t>
    </r>
  </si>
  <si>
    <r>
      <rPr>
        <sz val="18"/>
        <color rgb="FF002060"/>
        <rFont val="Impact"/>
        <family val="2"/>
        <charset val="204"/>
      </rPr>
      <t>INFORT.SMA: конкурентный анализ территории продаж</t>
    </r>
    <r>
      <rPr>
        <sz val="20"/>
        <color rgb="FF002060"/>
        <rFont val="Impact"/>
        <family val="2"/>
        <charset val="204"/>
      </rPr>
      <t xml:space="preserve">
</t>
    </r>
    <r>
      <rPr>
        <sz val="16"/>
        <color rgb="FF002060"/>
        <rFont val="Impact"/>
        <family val="2"/>
        <charset val="204"/>
      </rPr>
      <t>Small version © INFORT Group,1997-2026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</si>
</sst>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0_ ;[Red]\-#,##0.00\ "/>
    <numFmt numFmtId="165" formatCode="#,##0_ ;[Red]\-#,##0\ "/>
    <numFmt numFmtId="166" formatCode="_-* #,##0.00_р_._-;\-* #,##0.00_р_._-;_-* &quot;-&quot;??_р_._-;_-@_-"/>
    <numFmt numFmtId="167" formatCode="#,##0.0_ ;[Red]\-#,##0.0\ "/>
    <numFmt numFmtId="168" formatCode="&quot;Длина товарной линейки = &quot;\ 0"/>
  </numFmts>
  <fonts count="30" x14ac:knownFonts="1">
    <font>
      <sz val="11"/>
      <color theme="1"/>
      <name val="Calibri"/>
      <family val="2"/>
      <charset val="204"/>
      <scheme val="minor"/>
    </font>
    <font>
      <sz val="10"/>
      <color theme="1"/>
      <name val="Tahoma"/>
      <family val="2"/>
      <charset val="204"/>
    </font>
    <font>
      <sz val="10"/>
      <color theme="1"/>
      <name val="Tahoma"/>
      <family val="2"/>
      <charset val="204"/>
    </font>
    <font>
      <sz val="10"/>
      <color theme="1"/>
      <name val="Tahoma"/>
      <family val="2"/>
      <charset val="204"/>
    </font>
    <font>
      <sz val="10"/>
      <color theme="1"/>
      <name val="Tahoma"/>
      <family val="2"/>
      <charset val="204"/>
    </font>
    <font>
      <sz val="10"/>
      <color theme="1"/>
      <name val="Tahoma"/>
      <family val="2"/>
      <charset val="204"/>
    </font>
    <font>
      <sz val="10"/>
      <color theme="1"/>
      <name val="Tahoma"/>
      <family val="2"/>
      <charset val="204"/>
    </font>
    <font>
      <sz val="10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4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10"/>
      <name val="Arial Cyr"/>
      <charset val="204"/>
    </font>
    <font>
      <sz val="9"/>
      <color theme="1"/>
      <name val="Arial Cyr"/>
      <family val="2"/>
      <charset val="204"/>
    </font>
    <font>
      <sz val="9"/>
      <name val="Arial Cyr"/>
      <charset val="204"/>
    </font>
    <font>
      <sz val="11"/>
      <name val="Tahoma"/>
      <family val="2"/>
      <charset val="204"/>
    </font>
    <font>
      <b/>
      <sz val="11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20"/>
      <color rgb="FF002060"/>
      <name val="Impact"/>
      <family val="2"/>
      <charset val="204"/>
    </font>
    <font>
      <sz val="16"/>
      <color rgb="FF002060"/>
      <name val="Impact"/>
      <family val="2"/>
      <charset val="204"/>
    </font>
    <font>
      <sz val="11"/>
      <color rgb="FF002060"/>
      <name val="Tahoma"/>
      <family val="2"/>
      <charset val="204"/>
    </font>
    <font>
      <sz val="18"/>
      <color rgb="FF002060"/>
      <name val="Impact"/>
      <family val="2"/>
      <charset val="204"/>
    </font>
    <font>
      <b/>
      <sz val="11"/>
      <color theme="3" tint="-0.499984740745262"/>
      <name val="Tahoma"/>
      <family val="2"/>
      <charset val="204"/>
    </font>
    <font>
      <sz val="11"/>
      <color theme="3" tint="-0.499984740745262"/>
      <name val="Tahoma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E4E4E4"/>
        <bgColor indexed="64"/>
      </patternFill>
    </fill>
    <fill>
      <gradientFill degree="90">
        <stop position="0">
          <color theme="0"/>
        </stop>
        <stop position="1">
          <color theme="3" tint="0.59999389629810485"/>
        </stop>
      </gradient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medium">
        <color theme="4" tint="-0.24994659260841701"/>
      </top>
      <bottom style="medium">
        <color theme="4" tint="-0.24994659260841701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medium">
        <color theme="4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4" tint="-0.24994659260841701"/>
      </left>
      <right/>
      <top style="thin">
        <color theme="4" tint="-0.24994659260841701"/>
      </top>
      <bottom style="thin">
        <color theme="4" tint="-0.24994659260841701"/>
      </bottom>
      <diagonal/>
    </border>
    <border>
      <left/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theme="4" tint="-0.24994659260841701"/>
      </left>
      <right style="thin">
        <color theme="4" tint="-0.24994659260841701"/>
      </right>
      <top style="medium">
        <color theme="4" tint="-0.24994659260841701"/>
      </top>
      <bottom style="thin">
        <color theme="4" tint="-0.24994659260841701"/>
      </bottom>
      <diagonal/>
    </border>
    <border>
      <left style="thin">
        <color theme="4" tint="-0.24994659260841701"/>
      </left>
      <right style="thin">
        <color theme="4" tint="-0.24994659260841701"/>
      </right>
      <top/>
      <bottom style="medium">
        <color theme="4" tint="-0.24994659260841701"/>
      </bottom>
      <diagonal/>
    </border>
    <border>
      <left style="thin">
        <color theme="4" tint="-0.24994659260841701"/>
      </left>
      <right/>
      <top style="thin">
        <color theme="4" tint="-0.24994659260841701"/>
      </top>
      <bottom style="thin">
        <color theme="0"/>
      </bottom>
      <diagonal/>
    </border>
    <border>
      <left/>
      <right/>
      <top style="thin">
        <color theme="4" tint="-0.24994659260841701"/>
      </top>
      <bottom style="thin">
        <color theme="0"/>
      </bottom>
      <diagonal/>
    </border>
    <border>
      <left/>
      <right style="thin">
        <color theme="4" tint="-0.24994659260841701"/>
      </right>
      <top style="thin">
        <color theme="4" tint="-0.24994659260841701"/>
      </top>
      <bottom style="thin">
        <color theme="0"/>
      </bottom>
      <diagonal/>
    </border>
  </borders>
  <cellStyleXfs count="35">
    <xf numFmtId="0" fontId="0" fillId="0" borderId="0"/>
    <xf numFmtId="0" fontId="11" fillId="0" borderId="0">
      <alignment horizontal="center" vertical="top"/>
    </xf>
    <xf numFmtId="0" fontId="12" fillId="0" borderId="0">
      <alignment horizontal="center" vertical="top"/>
    </xf>
    <xf numFmtId="0" fontId="13" fillId="0" borderId="0">
      <alignment horizontal="center" vertical="center"/>
    </xf>
    <xf numFmtId="0" fontId="13" fillId="0" borderId="0">
      <alignment horizontal="center" vertical="center"/>
    </xf>
    <xf numFmtId="0" fontId="13" fillId="0" borderId="0">
      <alignment horizontal="right" vertical="center"/>
    </xf>
    <xf numFmtId="0" fontId="14" fillId="0" borderId="0">
      <alignment horizontal="right" vertical="top"/>
    </xf>
    <xf numFmtId="0" fontId="13" fillId="0" borderId="0">
      <alignment horizontal="left" vertical="top"/>
    </xf>
    <xf numFmtId="0" fontId="15" fillId="2" borderId="0">
      <alignment horizontal="right" vertical="center"/>
    </xf>
    <xf numFmtId="0" fontId="15" fillId="2" borderId="0">
      <alignment horizontal="right" vertical="center"/>
    </xf>
    <xf numFmtId="0" fontId="13" fillId="2" borderId="0">
      <alignment horizontal="right" vertical="center"/>
    </xf>
    <xf numFmtId="0" fontId="15" fillId="2" borderId="0">
      <alignment horizontal="right" vertical="center"/>
    </xf>
    <xf numFmtId="0" fontId="13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12" fillId="0" borderId="0">
      <alignment horizontal="center" vertical="center"/>
    </xf>
    <xf numFmtId="0" fontId="12" fillId="0" borderId="0">
      <alignment horizontal="center" vertical="top"/>
    </xf>
    <xf numFmtId="0" fontId="12" fillId="0" borderId="0">
      <alignment horizontal="center" vertical="center"/>
    </xf>
    <xf numFmtId="0" fontId="13" fillId="0" borderId="0">
      <alignment horizontal="left" vertical="center"/>
    </xf>
    <xf numFmtId="0" fontId="13" fillId="0" borderId="0">
      <alignment horizontal="right" vertical="center"/>
    </xf>
    <xf numFmtId="0" fontId="16" fillId="0" borderId="0">
      <alignment horizontal="right" vertical="center"/>
    </xf>
    <xf numFmtId="0" fontId="8" fillId="0" borderId="0"/>
    <xf numFmtId="0" fontId="17" fillId="0" borderId="0"/>
    <xf numFmtId="0" fontId="10" fillId="0" borderId="0"/>
    <xf numFmtId="0" fontId="1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9" fillId="0" borderId="0" applyFont="0" applyFill="0" applyBorder="0" applyAlignment="0" applyProtection="0"/>
  </cellStyleXfs>
  <cellXfs count="48">
    <xf numFmtId="0" fontId="0" fillId="0" borderId="0" xfId="0"/>
    <xf numFmtId="0" fontId="9" fillId="0" borderId="0" xfId="0" applyFont="1" applyAlignment="1" applyProtection="1">
      <alignment vertical="center"/>
      <protection hidden="1"/>
    </xf>
    <xf numFmtId="0" fontId="20" fillId="0" borderId="2" xfId="0" applyFont="1" applyBorder="1" applyAlignment="1" applyProtection="1">
      <alignment horizontal="left" vertical="center" wrapText="1" indent="1"/>
      <protection hidden="1"/>
    </xf>
    <xf numFmtId="0" fontId="20" fillId="0" borderId="8" xfId="0" applyFont="1" applyFill="1" applyBorder="1" applyAlignment="1" applyProtection="1">
      <alignment horizontal="left" vertical="center" wrapText="1" indent="1"/>
      <protection hidden="1"/>
    </xf>
    <xf numFmtId="0" fontId="20" fillId="0" borderId="2" xfId="0" applyFont="1" applyFill="1" applyBorder="1" applyAlignment="1" applyProtection="1">
      <alignment horizontal="left" vertical="center" wrapText="1" indent="1"/>
      <protection hidden="1"/>
    </xf>
    <xf numFmtId="0" fontId="20" fillId="0" borderId="9" xfId="0" applyFont="1" applyBorder="1" applyAlignment="1" applyProtection="1">
      <alignment horizontal="left" vertical="center" wrapText="1" indent="1"/>
      <protection hidden="1"/>
    </xf>
    <xf numFmtId="168" fontId="22" fillId="0" borderId="1" xfId="0" applyNumberFormat="1" applyFont="1" applyFill="1" applyBorder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vertical="center"/>
      <protection hidden="1"/>
    </xf>
    <xf numFmtId="1" fontId="22" fillId="0" borderId="8" xfId="0" applyNumberFormat="1" applyFont="1" applyBorder="1" applyAlignment="1" applyProtection="1">
      <alignment horizontal="center" vertical="center"/>
      <protection hidden="1"/>
    </xf>
    <xf numFmtId="1" fontId="22" fillId="0" borderId="2" xfId="0" applyNumberFormat="1" applyFont="1" applyBorder="1" applyAlignment="1" applyProtection="1">
      <alignment horizontal="center" vertical="center"/>
      <protection hidden="1"/>
    </xf>
    <xf numFmtId="1" fontId="22" fillId="0" borderId="3" xfId="0" applyNumberFormat="1" applyFont="1" applyBorder="1" applyAlignment="1" applyProtection="1">
      <alignment horizontal="center" vertical="center"/>
      <protection hidden="1"/>
    </xf>
    <xf numFmtId="167" fontId="21" fillId="0" borderId="1" xfId="0" applyNumberFormat="1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vertical="center"/>
      <protection hidden="1"/>
    </xf>
    <xf numFmtId="165" fontId="7" fillId="0" borderId="0" xfId="0" applyNumberFormat="1" applyFont="1" applyAlignment="1" applyProtection="1">
      <alignment vertical="center"/>
      <protection hidden="1"/>
    </xf>
    <xf numFmtId="2" fontId="7" fillId="0" borderId="0" xfId="0" applyNumberFormat="1" applyFont="1" applyAlignment="1" applyProtection="1">
      <alignment horizontal="center" vertical="center"/>
      <protection hidden="1"/>
    </xf>
    <xf numFmtId="0" fontId="7" fillId="0" borderId="0" xfId="0" applyNumberFormat="1" applyFont="1" applyAlignment="1" applyProtection="1">
      <alignment horizontal="center" vertical="center"/>
      <protection hidden="1"/>
    </xf>
    <xf numFmtId="0" fontId="7" fillId="4" borderId="2" xfId="0" applyFont="1" applyFill="1" applyBorder="1" applyAlignment="1" applyProtection="1">
      <alignment horizontal="center" vertical="center"/>
      <protection hidden="1"/>
    </xf>
    <xf numFmtId="164" fontId="7" fillId="4" borderId="2" xfId="0" applyNumberFormat="1" applyFont="1" applyFill="1" applyBorder="1" applyAlignment="1" applyProtection="1">
      <alignment horizontal="center" vertical="center"/>
      <protection hidden="1"/>
    </xf>
    <xf numFmtId="0" fontId="7" fillId="4" borderId="2" xfId="0" applyFont="1" applyFill="1" applyBorder="1" applyAlignment="1" applyProtection="1">
      <alignment vertical="center"/>
      <protection hidden="1"/>
    </xf>
    <xf numFmtId="2" fontId="7" fillId="0" borderId="2" xfId="0" applyNumberFormat="1" applyFont="1" applyBorder="1" applyAlignment="1" applyProtection="1">
      <alignment horizontal="center" vertical="center"/>
      <protection hidden="1"/>
    </xf>
    <xf numFmtId="0" fontId="23" fillId="0" borderId="2" xfId="0" applyFont="1" applyBorder="1" applyAlignment="1" applyProtection="1">
      <alignment horizontal="left" vertical="center"/>
      <protection hidden="1"/>
    </xf>
    <xf numFmtId="165" fontId="7" fillId="0" borderId="0" xfId="0" applyNumberFormat="1" applyFont="1" applyAlignment="1" applyProtection="1">
      <alignment vertical="center"/>
      <protection locked="0" hidden="1"/>
    </xf>
    <xf numFmtId="0" fontId="6" fillId="0" borderId="4" xfId="0" applyFont="1" applyBorder="1" applyAlignment="1" applyProtection="1">
      <alignment horizontal="center" vertical="center" wrapText="1"/>
      <protection hidden="1"/>
    </xf>
    <xf numFmtId="2" fontId="6" fillId="0" borderId="4" xfId="0" applyNumberFormat="1" applyFont="1" applyBorder="1" applyAlignment="1" applyProtection="1">
      <alignment horizontal="center" vertical="center" wrapText="1"/>
      <protection hidden="1"/>
    </xf>
    <xf numFmtId="165" fontId="7" fillId="0" borderId="0" xfId="0" applyNumberFormat="1" applyFont="1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7" fillId="5" borderId="0" xfId="0" applyFont="1" applyFill="1" applyAlignment="1" applyProtection="1">
      <alignment vertical="center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vertical="center"/>
      <protection hidden="1"/>
    </xf>
    <xf numFmtId="0" fontId="7" fillId="4" borderId="0" xfId="0" applyFont="1" applyFill="1" applyAlignment="1" applyProtection="1">
      <alignment vertical="center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3" fillId="0" borderId="0" xfId="0" applyFont="1"/>
    <xf numFmtId="0" fontId="28" fillId="0" borderId="1" xfId="0" applyFont="1" applyBorder="1" applyAlignment="1" applyProtection="1">
      <alignment horizontal="left" vertical="center" wrapText="1" indent="1"/>
      <protection hidden="1"/>
    </xf>
    <xf numFmtId="0" fontId="2" fillId="0" borderId="0" xfId="0" applyFont="1" applyBorder="1" applyAlignment="1" applyProtection="1">
      <alignment vertical="center"/>
      <protection locked="0" hidden="1"/>
    </xf>
    <xf numFmtId="0" fontId="7" fillId="0" borderId="2" xfId="0" applyFont="1" applyBorder="1" applyAlignment="1" applyProtection="1">
      <alignment horizontal="center" vertical="center"/>
      <protection hidden="1"/>
    </xf>
    <xf numFmtId="167" fontId="7" fillId="0" borderId="2" xfId="0" applyNumberFormat="1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 wrapText="1"/>
      <protection hidden="1"/>
    </xf>
    <xf numFmtId="0" fontId="24" fillId="3" borderId="6" xfId="0" applyFont="1" applyFill="1" applyBorder="1" applyAlignment="1" applyProtection="1">
      <alignment horizontal="center" vertical="center" wrapText="1"/>
      <protection hidden="1"/>
    </xf>
    <xf numFmtId="0" fontId="24" fillId="3" borderId="7" xfId="0" applyFont="1" applyFill="1" applyBorder="1" applyAlignment="1" applyProtection="1">
      <alignment horizontal="center" vertical="center" wrapText="1"/>
      <protection hidden="1"/>
    </xf>
    <xf numFmtId="0" fontId="26" fillId="4" borderId="10" xfId="0" applyFont="1" applyFill="1" applyBorder="1" applyAlignment="1" applyProtection="1">
      <alignment horizontal="center" vertical="center" wrapText="1"/>
      <protection hidden="1"/>
    </xf>
    <xf numFmtId="0" fontId="26" fillId="4" borderId="11" xfId="0" applyFont="1" applyFill="1" applyBorder="1" applyAlignment="1" applyProtection="1">
      <alignment horizontal="center" vertical="center" wrapText="1"/>
      <protection hidden="1"/>
    </xf>
    <xf numFmtId="0" fontId="26" fillId="4" borderId="12" xfId="0" applyFont="1" applyFill="1" applyBorder="1" applyAlignment="1" applyProtection="1">
      <alignment horizontal="center" vertical="center" wrapText="1"/>
      <protection hidden="1"/>
    </xf>
    <xf numFmtId="0" fontId="26" fillId="4" borderId="10" xfId="0" applyFont="1" applyFill="1" applyBorder="1" applyAlignment="1" applyProtection="1">
      <alignment horizontal="center" vertical="center"/>
      <protection hidden="1"/>
    </xf>
    <xf numFmtId="0" fontId="26" fillId="4" borderId="11" xfId="0" applyFont="1" applyFill="1" applyBorder="1" applyAlignment="1" applyProtection="1">
      <alignment horizontal="center" vertical="center"/>
      <protection hidden="1"/>
    </xf>
    <xf numFmtId="0" fontId="26" fillId="4" borderId="12" xfId="0" applyFont="1" applyFill="1" applyBorder="1" applyAlignment="1" applyProtection="1">
      <alignment horizontal="center" vertical="center"/>
      <protection hidden="1"/>
    </xf>
  </cellXfs>
  <cellStyles count="35">
    <cellStyle name="S0" xfId="1"/>
    <cellStyle name="S1" xfId="2"/>
    <cellStyle name="S10" xfId="3"/>
    <cellStyle name="S11" xfId="4"/>
    <cellStyle name="S12" xfId="5"/>
    <cellStyle name="S13" xfId="6"/>
    <cellStyle name="S14" xfId="7"/>
    <cellStyle name="S15" xfId="8"/>
    <cellStyle name="S16" xfId="9"/>
    <cellStyle name="S17" xfId="10"/>
    <cellStyle name="S18" xfId="11"/>
    <cellStyle name="S19" xfId="12"/>
    <cellStyle name="S2" xfId="13"/>
    <cellStyle name="S3" xfId="14"/>
    <cellStyle name="S4" xfId="15"/>
    <cellStyle name="S5" xfId="16"/>
    <cellStyle name="S6" xfId="17"/>
    <cellStyle name="S7" xfId="18"/>
    <cellStyle name="S8" xfId="19"/>
    <cellStyle name="S9" xfId="20"/>
    <cellStyle name="Обычный" xfId="0" builtinId="0"/>
    <cellStyle name="Обычный 10" xfId="21"/>
    <cellStyle name="Обычный 2" xfId="22"/>
    <cellStyle name="Обычный 2 2" xfId="23"/>
    <cellStyle name="Обычный 3" xfId="24"/>
    <cellStyle name="Обычный 4" xfId="25"/>
    <cellStyle name="Обычный 5" xfId="26"/>
    <cellStyle name="Обычный 6" xfId="27"/>
    <cellStyle name="Обычный 7" xfId="28"/>
    <cellStyle name="Обычный 8" xfId="29"/>
    <cellStyle name="Обычный 9" xfId="30"/>
    <cellStyle name="Процентный 2" xfId="31"/>
    <cellStyle name="Фиксированный" xfId="32"/>
    <cellStyle name="Финансовый 2" xfId="33"/>
    <cellStyle name="Целый" xfId="34"/>
  </cellStyles>
  <dxfs count="17"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numFmt numFmtId="0" formatCode="General"/>
      <alignment horizontal="center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numFmt numFmtId="165" formatCode="#,##0_ ;[Red]\-#,##0\ "/>
      <alignment horizontal="general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2" formatCode="0.00"/>
      <alignment horizontal="center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numFmt numFmtId="2" formatCode="0.00"/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5" formatCode="#,##0_ ;[Red]\-#,##0\ "/>
      <alignment horizontal="center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numFmt numFmtId="165" formatCode="#,##0_ ;[Red]\-#,##0\ "/>
      <alignment horizontal="general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5" formatCode="#,##0_ ;[Red]\-#,##0\ 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5" formatCode="#,##0_ ;[Red]\-#,##0\ "/>
      <alignment horizontal="general" vertical="center" textRotation="0" wrapText="0" indent="0" justifyLastLine="0" shrinkToFit="0" readingOrder="0"/>
      <protection locked="0" hidden="1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numFmt numFmtId="165" formatCode="#,##0_ ;[Red]\-#,##0\ "/>
      <alignment horizontal="general" vertical="center" textRotation="0" wrapText="0" indent="0" justifyLastLine="0" shrinkToFit="0" readingOrder="0"/>
      <protection locked="0" hidden="1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numFmt numFmtId="165" formatCode="#,##0_ ;[Red]\-#,##0\ "/>
      <alignment horizontal="general" vertical="center" textRotation="0" wrapText="0" indent="0" justifyLastLine="0" shrinkToFit="0" readingOrder="0"/>
      <protection locked="0" hidden="1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numFmt numFmtId="165" formatCode="#,##0_ ;[Red]\-#,##0\ "/>
      <alignment horizontal="general" vertical="center" textRotation="0" wrapText="0" indent="0" justifyLastLine="0" shrinkToFit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5" formatCode="#,##0_ ;[Red]\-#,##0\ "/>
      <alignment horizontal="general" vertical="center" textRotation="0" wrapText="0" indent="0" justifyLastLine="0" shrinkToFit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5" formatCode="#,##0_ ;[Red]\-#,##0\ "/>
      <alignment horizontal="general" vertical="center" textRotation="0" wrapText="0" indent="0" justifyLastLine="0" shrinkToFit="0" readingOrder="0"/>
      <protection locked="0" hidden="1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numFmt numFmtId="0" formatCode="General"/>
      <alignment horizontal="general" vertical="center" textRotation="0" wrapText="0" indent="0" justifyLastLine="0" shrinkToFit="0" readingOrder="0"/>
      <protection locked="0" hidden="1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alignment horizontal="general" vertical="center" textRotation="0" wrapText="0" indent="0" justifyLastLine="0" shrinkToFit="0" readingOrder="0"/>
      <protection locked="1" hidden="1"/>
    </dxf>
    <dxf>
      <border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  <protection locked="1" hidden="1"/>
    </dxf>
  </dxfs>
  <tableStyles count="0" defaultTableStyle="TableStyleMedium2" defaultPivotStyle="PivotStyleLight16"/>
  <colors>
    <mruColors>
      <color rgb="FFF8F8F8"/>
      <color rgb="FFFFEFFF"/>
      <color rgb="FFFFDDFF"/>
      <color rgb="FFFFF7FF"/>
      <color rgb="FF800080"/>
      <color rgb="FFD60093"/>
      <color rgb="FFFF4B4B"/>
      <color rgb="FFFF3B3B"/>
      <color rgb="FFFF0066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nfort-group.ru/books/INFORT_Group_AboutMResearchesAndExpertScores.pdf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276225</xdr:colOff>
      <xdr:row>12</xdr:row>
      <xdr:rowOff>76198</xdr:rowOff>
    </xdr:from>
    <xdr:to>
      <xdr:col>3</xdr:col>
      <xdr:colOff>0</xdr:colOff>
      <xdr:row>50</xdr:row>
      <xdr:rowOff>47625</xdr:rowOff>
    </xdr:to>
    <xdr:sp macro="" textlink="">
      <xdr:nvSpPr>
        <xdr:cNvPr id="2" name="Прямоугольник 1"/>
        <xdr:cNvSpPr/>
      </xdr:nvSpPr>
      <xdr:spPr>
        <a:xfrm>
          <a:off x="276225" y="4248148"/>
          <a:ext cx="9020175" cy="6124577"/>
        </a:xfrm>
        <a:prstGeom prst="rect">
          <a:avLst/>
        </a:prstGeom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rgbClr val="002060"/>
              </a:solidFill>
              <a:effectLst/>
              <a:uLnTx/>
              <a:uFillTx/>
              <a:latin typeface="Impact" panose="020B0806030902050204" pitchFamily="34" charset="0"/>
              <a:ea typeface="Tahoma" panose="020B0604030504040204" pitchFamily="34" charset="0"/>
              <a:cs typeface="Tahoma" panose="020B0604030504040204" pitchFamily="34" charset="0"/>
            </a:rPr>
            <a:t>INFORT.SMA</a:t>
          </a:r>
          <a:r>
            <a:rPr kumimoji="0" lang="ru-RU" sz="1800" b="0" i="0" u="none" strike="noStrike" kern="0" cap="none" spc="0" normalizeH="0" baseline="0" noProof="0">
              <a:ln>
                <a:noFill/>
              </a:ln>
              <a:solidFill>
                <a:srgbClr val="002060"/>
              </a:solidFill>
              <a:effectLst/>
              <a:uLnTx/>
              <a:uFillTx/>
              <a:latin typeface="Impact" panose="020B080603090205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002060"/>
              </a:solidFill>
              <a:effectLst/>
              <a:uLnTx/>
              <a:uFillTx/>
              <a:latin typeface="Impact" panose="020B0806030902050204" pitchFamily="34" charset="0"/>
              <a:ea typeface="Tahoma" panose="020B0604030504040204" pitchFamily="34" charset="0"/>
              <a:cs typeface="Tahoma" panose="020B0604030504040204" pitchFamily="34" charset="0"/>
            </a:rPr>
            <a:t/>
          </a:r>
          <a:b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002060"/>
              </a:solidFill>
              <a:effectLst/>
              <a:uLnTx/>
              <a:uFillTx/>
              <a:latin typeface="Impact" panose="020B0806030902050204" pitchFamily="34" charset="0"/>
              <a:ea typeface="Tahoma" panose="020B0604030504040204" pitchFamily="34" charset="0"/>
              <a:cs typeface="Tahoma" panose="020B0604030504040204" pitchFamily="34" charset="0"/>
            </a:rPr>
          </a:b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002060"/>
              </a:solidFill>
              <a:effectLst/>
              <a:uLnTx/>
              <a:uFillTx/>
              <a:latin typeface="Impact" panose="020B0806030902050204" pitchFamily="34" charset="0"/>
              <a:ea typeface="Tahoma" panose="020B0604030504040204" pitchFamily="34" charset="0"/>
              <a:cs typeface="Tahoma" panose="020B0604030504040204" pitchFamily="34" charset="0"/>
            </a:rPr>
            <a:t>Small  version</a:t>
          </a:r>
          <a:endParaRPr lang="ru-RU" sz="12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/>
          <a:r>
            <a:rPr lang="ru-RU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Представленная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en-US" sz="1200" i="1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small-</a:t>
          </a:r>
          <a:r>
            <a:rPr lang="ru-RU" sz="1200" i="1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версия</a:t>
          </a:r>
          <a:r>
            <a:rPr lang="ru-RU" sz="1200" b="0" i="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ru-RU" sz="1200" i="1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технологии конкурентного анализа территории продаж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en-US" sz="1400" baseline="0">
              <a:solidFill>
                <a:srgbClr val="002060"/>
              </a:solidFill>
              <a:latin typeface="Impact" panose="020B0806030902050204" pitchFamily="34" charset="0"/>
              <a:ea typeface="Tahoma" panose="020B0604030504040204" pitchFamily="34" charset="0"/>
              <a:cs typeface="Tahoma" panose="020B0604030504040204" pitchFamily="34" charset="0"/>
            </a:rPr>
            <a:t>INFORT.SMA</a:t>
          </a:r>
          <a:r>
            <a:rPr lang="en-US" sz="14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, </a:t>
          </a:r>
          <a:r>
            <a:rPr lang="en-US" sz="1400" b="0" baseline="0">
              <a:solidFill>
                <a:srgbClr val="002060"/>
              </a:solidFill>
              <a:latin typeface="Impact"/>
              <a:ea typeface="Tahoma" panose="020B0604030504040204" pitchFamily="34" charset="0"/>
              <a:cs typeface="Tahoma" panose="020B0604030504040204" pitchFamily="34" charset="0"/>
            </a:rPr>
            <a:t>© </a:t>
          </a:r>
          <a:r>
            <a:rPr lang="en-US" sz="1400" baseline="0">
              <a:solidFill>
                <a:srgbClr val="002060"/>
              </a:solidFill>
              <a:latin typeface="Impact" panose="020B0806030902050204" pitchFamily="34" charset="0"/>
              <a:ea typeface="Tahoma" panose="020B0604030504040204" pitchFamily="34" charset="0"/>
              <a:cs typeface="Tahoma" panose="020B0604030504040204" pitchFamily="34" charset="0"/>
            </a:rPr>
            <a:t>INFORT Group, 1997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, включает </a:t>
          </a:r>
          <a:r>
            <a:rPr lang="ru-RU" sz="1200" i="1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модуль тестирования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для</a:t>
          </a:r>
          <a:r>
            <a:rPr lang="en-US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оценки </a:t>
          </a:r>
          <a:r>
            <a:rPr lang="ru-RU" sz="1200" i="1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степени конкуренции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по ассортименту анализируемых товаров (работ, услуг) (далее - «позиции</a:t>
          </a:r>
          <a:r>
            <a:rPr lang="ru-RU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»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) и </a:t>
          </a:r>
          <a:r>
            <a:rPr lang="ru-RU" sz="1200" i="1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уровня конкурентоспособности цен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на них у Предприятия в сравнении с его конкурентами на </a:t>
          </a:r>
          <a:r>
            <a:rPr lang="ru-RU" sz="1200" i="1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территории продаж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(в квартале, районе, городе, регионе).</a:t>
          </a:r>
        </a:p>
        <a:p>
          <a:pPr algn="l"/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Тестировать можно, как определёную категорию позиций, так и позиции-индикаторы продаж.</a:t>
          </a:r>
        </a:p>
        <a:p>
          <a:pPr algn="l"/>
          <a:r>
            <a:rPr lang="en-US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/>
          </a:r>
          <a:br>
            <a:rPr lang="en-US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</a:b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В </a:t>
          </a:r>
          <a:r>
            <a:rPr lang="en-US" sz="1200" i="1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small-</a:t>
          </a:r>
          <a:r>
            <a:rPr lang="ru-RU" sz="1200" i="1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версии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ограничено количество позиций (не более 20) и конкурентов (не более 3). В то же время, во многих случаях, этого оказывается достаточно.</a:t>
          </a:r>
        </a:p>
        <a:p>
          <a:pPr algn="ctr"/>
          <a:r>
            <a:rPr lang="en-US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***</a:t>
          </a:r>
          <a:endParaRPr lang="ru-RU" sz="1200" baseline="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/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Полная версия </a:t>
          </a:r>
          <a:r>
            <a:rPr kumimoji="0" lang="ru-RU" sz="12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технологии конкурентного анализа территории продаж</a:t>
          </a:r>
          <a:r>
            <a:rPr kumimoji="0" lang="ru-RU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002060"/>
              </a:solidFill>
              <a:effectLst/>
              <a:uLnTx/>
              <a:uFillTx/>
              <a:latin typeface="Impact" panose="020B0806030902050204" pitchFamily="34" charset="0"/>
              <a:ea typeface="Tahoma" panose="020B0604030504040204" pitchFamily="34" charset="0"/>
              <a:cs typeface="Tahoma" panose="020B0604030504040204" pitchFamily="34" charset="0"/>
            </a:rPr>
            <a:t>INFORT.SMA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предназначена для решения задачи </a:t>
          </a:r>
          <a:r>
            <a:rPr lang="ru-RU" sz="1200" i="1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оптимального базового ценообразования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, содержит дополнительные аналитические показатели и позволяет определить: </a:t>
          </a:r>
        </a:p>
        <a:p>
          <a:pPr algn="l"/>
          <a:r>
            <a:rPr lang="en-US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/>
          </a:r>
          <a:br>
            <a:rPr lang="en-US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</a:b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• оптимальные проценты наценок и цены на анализируемые позиции</a:t>
          </a:r>
          <a:r>
            <a:rPr lang="en-US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в зависимости от выбора </a:t>
          </a:r>
          <a:r>
            <a:rPr lang="ru-RU" sz="1200" i="1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лицом, принимающим решения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(ЛПР) по ценам </a:t>
          </a:r>
          <a:r>
            <a:rPr lang="ru-RU" sz="1200" i="1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стратегии ценообразования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на территории продаж: «</a:t>
          </a:r>
          <a:r>
            <a:rPr lang="ru-RU" sz="120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Рентабельность </a:t>
          </a:r>
          <a:r>
            <a:rPr lang="ru-RU" sz="120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  <a:sym typeface="Symbol"/>
            </a:rPr>
            <a:t></a:t>
          </a:r>
          <a:r>
            <a:rPr lang="ru-RU" sz="1200" baseline="0">
              <a:solidFill>
                <a:schemeClr val="dk1"/>
              </a:solidFill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Конкурентоспособность»;</a:t>
          </a:r>
        </a:p>
        <a:p>
          <a:pPr algn="l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ru-RU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•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оптимальные проценты наценок для </a:t>
          </a:r>
          <a:r>
            <a:rPr lang="ru-RU" sz="1200" i="1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ценовых диапазонов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закупочных цен;</a:t>
          </a:r>
        </a:p>
        <a:p>
          <a:pPr algn="l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ru-RU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•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построить </a:t>
          </a:r>
          <a:r>
            <a:rPr lang="ru-RU" sz="1200" i="1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ценовую функцию</a:t>
          </a: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, связывающую проценты наценок с величиной закупочных цен, что позволяет заметно повысить рентабельность продаж.</a:t>
          </a:r>
        </a:p>
        <a:p>
          <a:pPr algn="l"/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/>
          </a:r>
          <a:b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</a:br>
          <a:r>
            <a:rPr lang="ru-RU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Более подробно см. </a:t>
          </a:r>
          <a:endParaRPr lang="ru-RU" sz="12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/>
          <a:endParaRPr lang="ru-RU" sz="12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/>
          <a:r>
            <a:rPr lang="ru-RU" sz="12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Показатели</a:t>
          </a:r>
          <a:r>
            <a:rPr lang="ru-RU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:</a:t>
          </a:r>
        </a:p>
        <a:p>
          <a:pPr algn="l"/>
          <a:r>
            <a:rPr lang="ru-RU" sz="1200" i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Базовая цена</a:t>
          </a:r>
          <a:r>
            <a:rPr lang="ru-RU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- (розничная</a:t>
          </a:r>
          <a:r>
            <a:rPr lang="en-US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ru-RU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/</a:t>
          </a:r>
          <a:r>
            <a:rPr lang="en-US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ru-RU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оптовая</a:t>
          </a:r>
          <a:r>
            <a:rPr lang="en-US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ru-RU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/</a:t>
          </a:r>
          <a:r>
            <a:rPr lang="en-US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ru-RU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отпускная) цена позиции у Предприятия без скидок. </a:t>
          </a:r>
        </a:p>
        <a:p>
          <a:pPr algn="l"/>
          <a:r>
            <a:rPr lang="ru-RU" sz="1200" i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Мин. базовая цена</a:t>
          </a:r>
          <a:r>
            <a:rPr lang="ru-RU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- минимально допустимая цена, которую Предприятие может установить на товар</a:t>
          </a:r>
          <a:r>
            <a:rPr lang="en-US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(</a:t>
          </a:r>
          <a:r>
            <a:rPr lang="ru-RU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работу</a:t>
          </a:r>
          <a:r>
            <a:rPr lang="en-US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,</a:t>
          </a:r>
          <a:r>
            <a:rPr lang="en-US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ru-RU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услугу</a:t>
          </a:r>
          <a:r>
            <a:rPr lang="en-US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)</a:t>
          </a:r>
          <a:r>
            <a:rPr lang="ru-RU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.</a:t>
          </a:r>
        </a:p>
        <a:p>
          <a:pPr algn="l"/>
          <a:r>
            <a:rPr lang="ru-RU" sz="1200" i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Цена закупки</a:t>
          </a:r>
          <a:r>
            <a:rPr lang="ru-RU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- цена закупки товара или себестоимость работы</a:t>
          </a:r>
          <a:r>
            <a:rPr lang="en-US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,</a:t>
          </a:r>
          <a:r>
            <a:rPr lang="en-US" sz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ru-RU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услуги.</a:t>
          </a:r>
          <a:endParaRPr lang="ru-RU" sz="1200" i="1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/>
          <a:r>
            <a:rPr lang="ru-RU" sz="1200" i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Мин. цена</a:t>
          </a:r>
          <a:r>
            <a:rPr lang="ru-RU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- минимальная представленная в таблице </a:t>
          </a:r>
          <a:r>
            <a:rPr lang="en-US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price.table </a:t>
          </a:r>
          <a:r>
            <a:rPr lang="ru-RU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цена товара.  </a:t>
          </a:r>
        </a:p>
        <a:p>
          <a:pPr algn="l"/>
          <a:r>
            <a:rPr lang="ru-RU" sz="1200" i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Цена конкуренции</a:t>
          </a:r>
          <a:r>
            <a:rPr lang="ru-RU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- взвешенная цена товара с учётом качества (широты, уникальности, цен) ассортимента у конкурентов.</a:t>
          </a:r>
          <a:endParaRPr lang="ru-RU" sz="1200" i="1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/>
          <a:r>
            <a:rPr lang="ru-RU" sz="1200" i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Оценка УКЦ</a:t>
          </a:r>
          <a:r>
            <a:rPr lang="ru-RU" sz="12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- взвешенная балльная оценка, вычисленная с учётом степени конкуренции по товарам.</a:t>
          </a:r>
        </a:p>
      </xdr:txBody>
    </xdr:sp>
    <xdr:clientData/>
  </xdr:twoCellAnchor>
  <xdr:twoCellAnchor editAs="absolute">
    <xdr:from>
      <xdr:col>1</xdr:col>
      <xdr:colOff>1581149</xdr:colOff>
      <xdr:row>38</xdr:row>
      <xdr:rowOff>123824</xdr:rowOff>
    </xdr:from>
    <xdr:to>
      <xdr:col>2</xdr:col>
      <xdr:colOff>257176</xdr:colOff>
      <xdr:row>40</xdr:row>
      <xdr:rowOff>87974</xdr:rowOff>
    </xdr:to>
    <xdr:sp macro="" textlink="">
      <xdr:nvSpPr>
        <xdr:cNvPr id="3" name="Скругленный прямоугольник 2">
          <a:hlinkClick xmlns:r="http://schemas.openxmlformats.org/officeDocument/2006/relationships" r:id="rId1"/>
        </xdr:cNvPr>
        <xdr:cNvSpPr/>
      </xdr:nvSpPr>
      <xdr:spPr>
        <a:xfrm>
          <a:off x="1866899" y="8505824"/>
          <a:ext cx="4324352" cy="288000"/>
        </a:xfrm>
        <a:prstGeom prst="roundRect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0" lang="ru-RU" sz="1200" b="0" i="0" u="none" strike="noStrike" kern="0" cap="none" spc="0" normalizeH="0" baseline="0" noProof="0">
              <a:ln>
                <a:noFill/>
              </a:ln>
              <a:solidFill>
                <a:srgbClr val="002060"/>
              </a:solidFill>
              <a:effectLst/>
              <a:uLnTx/>
              <a:uFillTx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«О маркетинговых исследованиях и экспертных оценках» </a:t>
          </a:r>
          <a:endParaRPr lang="ru-RU" sz="1200">
            <a:solidFill>
              <a:srgbClr val="00206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db" displayName="db" ref="B3:O23" totalsRowShown="0" headerRowDxfId="16" dataDxfId="14" headerRowBorderDxfId="15">
  <autoFilter ref="B3:O23"/>
  <tableColumns count="14">
    <tableColumn id="2" name="Товар" dataDxfId="13"/>
    <tableColumn id="19" name="Цена закупки" dataDxfId="12"/>
    <tableColumn id="17" name="Базовая цена мин." dataDxfId="11"/>
    <tableColumn id="3" name="Базовая цена" dataDxfId="10"/>
    <tableColumn id="4" name="I" dataDxfId="9"/>
    <tableColumn id="5" name="II" dataDxfId="8"/>
    <tableColumn id="8" name="III" dataDxfId="7"/>
    <tableColumn id="1" name="|" dataDxfId="6"/>
    <tableColumn id="9" name="Pmin" dataDxfId="5">
      <calculatedColumnFormula>MIN(db[[#This Row],[Базовая цена]:[III]])</calculatedColumnFormula>
    </tableColumn>
    <tableColumn id="7" name="f" dataDxfId="4">
      <calculatedColumnFormula>IFERROR(COUNT(db[[#This Row],[Базовая цена]:[III]]),0)</calculatedColumnFormula>
    </tableColumn>
    <tableColumn id="10" name="Alfa" dataDxfId="3">
      <calculatedColumnFormula>IFERROR(IF(db[[#This Row],[f]]=0,1,(db[[#This Row],[f]]-1)/(FIRMS-1)),1)</calculatedColumnFormula>
    </tableColumn>
    <tableColumn id="6" name="IdxU" dataDxfId="2">
      <calculatedColumnFormula>IFERROR(IF(db[[#This Row],[f]]=0,0,1+(1-db[[#This Row],[Alfa]])*4),0)</calculatedColumnFormula>
    </tableColumn>
    <tableColumn id="12" name="P*" dataDxfId="1">
      <calculatedColumnFormula array="1">IFERROR(IF(AND(db[[#This Row],[f]]=1,db[[#This Row],[Базовая цена]]&gt;0),db[[#This Row],[Базовая цена]],SUM(IF(db[[#This Row],[I]:[III]]&gt;0,db[[#This Row],[I]:[III]]*IdxR,0))/SUM(IF(db[[#This Row],[I]:[III]]&gt;0,IdxR,0))),0)</calculatedColumnFormula>
    </tableColumn>
    <tableColumn id="29" name="Score" dataDxfId="0">
      <calculatedColumnFormula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calculatedColumnFormula>
    </tableColumn>
  </tableColumns>
  <tableStyleInfo name="TableStyleLight13" showFirstColumn="0" showLastColumn="0" showRowStripes="1" showColumnStripes="1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D51"/>
  <sheetViews>
    <sheetView showGridLines="0" zoomScaleNormal="100" workbookViewId="0">
      <selection activeCell="B4" sqref="B4"/>
    </sheetView>
  </sheetViews>
  <sheetFormatPr defaultColWidth="0" defaultRowHeight="12.75" zeroHeight="1" x14ac:dyDescent="0.25"/>
  <cols>
    <col min="1" max="1" width="4.28515625" style="30" customWidth="1"/>
    <col min="2" max="2" width="84.7109375" style="30" customWidth="1"/>
    <col min="3" max="3" width="50.42578125" style="30" customWidth="1"/>
    <col min="4" max="4" width="4.85546875" style="1" customWidth="1"/>
    <col min="5" max="16384" width="9.140625" style="1" hidden="1"/>
  </cols>
  <sheetData>
    <row r="1" spans="1:3" x14ac:dyDescent="0.25">
      <c r="A1" s="1"/>
      <c r="B1" s="1"/>
      <c r="C1" s="1"/>
    </row>
    <row r="2" spans="1:3" ht="62.25" customHeight="1" x14ac:dyDescent="0.25">
      <c r="A2" s="1"/>
      <c r="B2" s="40" t="s">
        <v>51</v>
      </c>
      <c r="C2" s="41"/>
    </row>
    <row r="3" spans="1:3" ht="7.5" customHeight="1" thickBot="1" x14ac:dyDescent="0.3">
      <c r="A3" s="1"/>
      <c r="B3" s="1"/>
      <c r="C3" s="1"/>
    </row>
    <row r="4" spans="1:3" ht="24.75" customHeight="1" thickBot="1" x14ac:dyDescent="0.3">
      <c r="A4" s="1"/>
      <c r="B4" s="35" t="s">
        <v>20</v>
      </c>
      <c r="C4" s="6" t="str">
        <f>IFERROR(IF(FIRMS&gt;1,price.table!X4,""),"")</f>
        <v>существенная</v>
      </c>
    </row>
    <row r="5" spans="1:3" ht="7.5" customHeight="1" thickBot="1" x14ac:dyDescent="0.3">
      <c r="A5" s="1"/>
      <c r="B5" s="7"/>
      <c r="C5" s="7"/>
    </row>
    <row r="6" spans="1:3" ht="24.95" customHeight="1" thickBot="1" x14ac:dyDescent="0.3">
      <c r="A6" s="1"/>
      <c r="B6" s="35" t="s">
        <v>28</v>
      </c>
      <c r="C6" s="6">
        <f>COUNTIF(db[f],"&gt;0")</f>
        <v>20</v>
      </c>
    </row>
    <row r="7" spans="1:3" ht="32.1" customHeight="1" x14ac:dyDescent="0.25">
      <c r="A7" s="1"/>
      <c r="B7" s="3" t="s">
        <v>10</v>
      </c>
      <c r="C7" s="8">
        <f>IFERROR(COUNTIF(db[Score],1),0)</f>
        <v>1</v>
      </c>
    </row>
    <row r="8" spans="1:3" ht="32.1" customHeight="1" x14ac:dyDescent="0.25">
      <c r="A8" s="1"/>
      <c r="B8" s="4" t="s">
        <v>11</v>
      </c>
      <c r="C8" s="9">
        <f>IFERROR(COUNTIF(db[Score],2),0)</f>
        <v>8</v>
      </c>
    </row>
    <row r="9" spans="1:3" ht="32.1" customHeight="1" x14ac:dyDescent="0.25">
      <c r="A9" s="1"/>
      <c r="B9" s="2" t="s">
        <v>12</v>
      </c>
      <c r="C9" s="9">
        <f>IFERROR(COUNTIF(db[Score],3),0)</f>
        <v>6</v>
      </c>
    </row>
    <row r="10" spans="1:3" ht="32.1" customHeight="1" x14ac:dyDescent="0.25">
      <c r="A10" s="1"/>
      <c r="B10" s="2" t="s">
        <v>13</v>
      </c>
      <c r="C10" s="9">
        <f>IFERROR(COUNTIFS(db[Score],4),0)</f>
        <v>2</v>
      </c>
    </row>
    <row r="11" spans="1:3" ht="32.1" customHeight="1" thickBot="1" x14ac:dyDescent="0.3">
      <c r="A11" s="1"/>
      <c r="B11" s="5" t="s">
        <v>22</v>
      </c>
      <c r="C11" s="10">
        <f>IFERROR(COUNTIF(db[Score],5),0)</f>
        <v>3</v>
      </c>
    </row>
    <row r="12" spans="1:3" ht="32.1" customHeight="1" thickBot="1" x14ac:dyDescent="0.3">
      <c r="A12" s="1"/>
      <c r="B12" s="35" t="s">
        <v>50</v>
      </c>
      <c r="C12" s="11">
        <f t="array" ref="C12">IFERROR(SUM(IF(db[f]&gt;0,db[Score]*db[Alfa],0))/SUM(IF(db[f]&gt;0,db[Alfa],0)),"")</f>
        <v>2.9230769230769234</v>
      </c>
    </row>
    <row r="13" spans="1:3" x14ac:dyDescent="0.25"/>
    <row r="14" spans="1:3" x14ac:dyDescent="0.25"/>
    <row r="15" spans="1:3" x14ac:dyDescent="0.25"/>
    <row r="16" spans="1:3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</sheetData>
  <sheetProtection password="D65C" sheet="1" objects="1" scenarios="1" selectLockedCells="1" selectUnlockedCells="1"/>
  <mergeCells count="1">
    <mergeCell ref="B2:C2"/>
  </mergeCells>
  <conditionalFormatting sqref="C12">
    <cfRule type="dataBar" priority="11">
      <dataBar>
        <cfvo type="num" val="1"/>
        <cfvo type="num" val="5"/>
        <color theme="4" tint="-0.499984740745262"/>
      </dataBar>
      <extLst>
        <ext xmlns:x14="http://schemas.microsoft.com/office/spreadsheetml/2009/9/main" uri="{B025F937-C7B1-47D3-B67F-A62EFF666E3E}">
          <x14:id>{F1644334-A94A-4437-829E-3262A264AB52}</x14:id>
        </ext>
      </extLst>
    </cfRule>
  </conditionalFormatting>
  <conditionalFormatting sqref="C4">
    <cfRule type="dataBar" priority="6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{C4B94682-A493-4D91-8E63-AA35727AC8E0}</x14:id>
        </ext>
      </extLst>
    </cfRule>
  </conditionalFormatting>
  <conditionalFormatting sqref="C7">
    <cfRule type="dataBar" priority="5">
      <dataBar>
        <cfvo type="num" val="0"/>
        <cfvo type="num" val="20"/>
        <color rgb="FFFF0000"/>
      </dataBar>
      <extLst>
        <ext xmlns:x14="http://schemas.microsoft.com/office/spreadsheetml/2009/9/main" uri="{B025F937-C7B1-47D3-B67F-A62EFF666E3E}">
          <x14:id>{178DB796-84DB-40AB-8657-CE4B5CB2EB7F}</x14:id>
        </ext>
      </extLst>
    </cfRule>
  </conditionalFormatting>
  <conditionalFormatting sqref="C8">
    <cfRule type="dataBar" priority="4">
      <dataBar>
        <cfvo type="num" val="0"/>
        <cfvo type="num" val="20"/>
        <color rgb="FFFFC000"/>
      </dataBar>
      <extLst>
        <ext xmlns:x14="http://schemas.microsoft.com/office/spreadsheetml/2009/9/main" uri="{B025F937-C7B1-47D3-B67F-A62EFF666E3E}">
          <x14:id>{1BE8BFDE-6ADB-45AD-90BD-4F19050F0C88}</x14:id>
        </ext>
      </extLst>
    </cfRule>
  </conditionalFormatting>
  <conditionalFormatting sqref="C9">
    <cfRule type="dataBar" priority="3">
      <dataBar>
        <cfvo type="num" val="0"/>
        <cfvo type="num" val="20"/>
        <color rgb="FFFFFF00"/>
      </dataBar>
      <extLst>
        <ext xmlns:x14="http://schemas.microsoft.com/office/spreadsheetml/2009/9/main" uri="{B025F937-C7B1-47D3-B67F-A62EFF666E3E}">
          <x14:id>{3D60C8BF-89FF-4DDC-9E2F-6FCA1FEFEAE0}</x14:id>
        </ext>
      </extLst>
    </cfRule>
  </conditionalFormatting>
  <conditionalFormatting sqref="C10">
    <cfRule type="dataBar" priority="2">
      <dataBar>
        <cfvo type="num" val="0"/>
        <cfvo type="num" val="20"/>
        <color rgb="FF00B0F0"/>
      </dataBar>
      <extLst>
        <ext xmlns:x14="http://schemas.microsoft.com/office/spreadsheetml/2009/9/main" uri="{B025F937-C7B1-47D3-B67F-A62EFF666E3E}">
          <x14:id>{8413D43E-B291-47C3-990E-EF82E2932651}</x14:id>
        </ext>
      </extLst>
    </cfRule>
  </conditionalFormatting>
  <conditionalFormatting sqref="C11">
    <cfRule type="dataBar" priority="1">
      <dataBar>
        <cfvo type="num" val="0"/>
        <cfvo type="num" val="20"/>
        <color rgb="FF00B050"/>
      </dataBar>
      <extLst>
        <ext xmlns:x14="http://schemas.microsoft.com/office/spreadsheetml/2009/9/main" uri="{B025F937-C7B1-47D3-B67F-A62EFF666E3E}">
          <x14:id>{7687867F-AC56-4665-867E-D26B91E92163}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1644334-A94A-4437-829E-3262A264AB52}">
            <x14:dataBar minLength="0" maxLength="100" border="1" negativeBarBorderColorSameAsPositive="0">
              <x14:cfvo type="num">
                <xm:f>1</xm:f>
              </x14:cfvo>
              <x14:cfvo type="num">
                <xm:f>5</xm:f>
              </x14:cfvo>
              <x14:borderColor theme="3" tint="-0.499984740745262"/>
              <x14:negativeFillColor rgb="FFFF7C80"/>
              <x14:negativeBorderColor rgb="FFFF0000"/>
              <x14:axisColor rgb="FF000000"/>
            </x14:dataBar>
          </x14:cfRule>
          <xm:sqref>C12</xm:sqref>
        </x14:conditionalFormatting>
        <x14:conditionalFormatting xmlns:xm="http://schemas.microsoft.com/office/excel/2006/main">
          <x14:cfRule type="dataBar" id="{C4B94682-A493-4D91-8E63-AA35727AC8E0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C4</xm:sqref>
        </x14:conditionalFormatting>
        <x14:conditionalFormatting xmlns:xm="http://schemas.microsoft.com/office/excel/2006/main">
          <x14:cfRule type="dataBar" id="{178DB796-84DB-40AB-8657-CE4B5CB2EB7F}">
            <x14:dataBar minLength="0" maxLength="100" border="1">
              <x14:cfvo type="num">
                <xm:f>0</xm:f>
              </x14:cfvo>
              <x14:cfvo type="num">
                <xm:f>20</xm:f>
              </x14:cfvo>
              <x14:borderColor rgb="FFFF0000"/>
              <x14:negativeFillColor rgb="FFFF0000"/>
              <x14:axisColor rgb="FF000000"/>
            </x14:dataBar>
          </x14:cfRule>
          <xm:sqref>C7</xm:sqref>
        </x14:conditionalFormatting>
        <x14:conditionalFormatting xmlns:xm="http://schemas.microsoft.com/office/excel/2006/main">
          <x14:cfRule type="dataBar" id="{1BE8BFDE-6ADB-45AD-90BD-4F19050F0C88}">
            <x14:dataBar minLength="0" maxLength="100" border="1">
              <x14:cfvo type="num">
                <xm:f>0</xm:f>
              </x14:cfvo>
              <x14:cfvo type="num">
                <xm:f>20</xm:f>
              </x14:cfvo>
              <x14:borderColor rgb="FFFFC000"/>
              <x14:negativeFillColor rgb="FFFF0000"/>
              <x14:axisColor rgb="FF000000"/>
            </x14:dataBar>
          </x14:cfRule>
          <xm:sqref>C8</xm:sqref>
        </x14:conditionalFormatting>
        <x14:conditionalFormatting xmlns:xm="http://schemas.microsoft.com/office/excel/2006/main">
          <x14:cfRule type="dataBar" id="{3D60C8BF-89FF-4DDC-9E2F-6FCA1FEFEAE0}">
            <x14:dataBar minLength="0" maxLength="100" border="1">
              <x14:cfvo type="num">
                <xm:f>0</xm:f>
              </x14:cfvo>
              <x14:cfvo type="num">
                <xm:f>20</xm:f>
              </x14:cfvo>
              <x14:borderColor rgb="FFFFC000"/>
              <x14:negativeFillColor rgb="FFFF0000"/>
              <x14:axisColor rgb="FF000000"/>
            </x14:dataBar>
          </x14:cfRule>
          <xm:sqref>C9</xm:sqref>
        </x14:conditionalFormatting>
        <x14:conditionalFormatting xmlns:xm="http://schemas.microsoft.com/office/excel/2006/main">
          <x14:cfRule type="dataBar" id="{8413D43E-B291-47C3-990E-EF82E2932651}">
            <x14:dataBar minLength="0" maxLength="100" border="1">
              <x14:cfvo type="num">
                <xm:f>0</xm:f>
              </x14:cfvo>
              <x14:cfvo type="num">
                <xm:f>20</xm:f>
              </x14:cfvo>
              <x14:borderColor theme="4" tint="-0.499984740745262"/>
              <x14:negativeFillColor rgb="FFFF0000"/>
              <x14:axisColor rgb="FF000000"/>
            </x14:dataBar>
          </x14:cfRule>
          <xm:sqref>C10</xm:sqref>
        </x14:conditionalFormatting>
        <x14:conditionalFormatting xmlns:xm="http://schemas.microsoft.com/office/excel/2006/main">
          <x14:cfRule type="dataBar" id="{7687867F-AC56-4665-867E-D26B91E92163}">
            <x14:dataBar minLength="0" maxLength="100" border="1">
              <x14:cfvo type="num">
                <xm:f>0</xm:f>
              </x14:cfvo>
              <x14:cfvo type="num">
                <xm:f>20</xm:f>
              </x14:cfvo>
              <x14:borderColor rgb="FF000000"/>
              <x14:negativeFillColor rgb="FFFF0000"/>
              <x14:axisColor rgb="FF000000"/>
            </x14:dataBar>
          </x14:cfRule>
          <xm:sqref>C11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Y24"/>
  <sheetViews>
    <sheetView showGridLines="0" tabSelected="1" workbookViewId="0">
      <selection activeCell="B4" sqref="B4"/>
    </sheetView>
  </sheetViews>
  <sheetFormatPr defaultColWidth="0" defaultRowHeight="12.75" zeroHeight="1" x14ac:dyDescent="0.2"/>
  <cols>
    <col min="1" max="1" width="2.5703125" style="34" customWidth="1"/>
    <col min="2" max="2" width="31" style="34" customWidth="1"/>
    <col min="3" max="3" width="12.85546875" style="34" customWidth="1"/>
    <col min="4" max="4" width="13.42578125" style="34" customWidth="1"/>
    <col min="5" max="5" width="12.7109375" style="34" customWidth="1"/>
    <col min="6" max="6" width="11.5703125" style="34" customWidth="1"/>
    <col min="7" max="7" width="11.42578125" style="34" customWidth="1"/>
    <col min="8" max="8" width="11.7109375" style="34" customWidth="1"/>
    <col min="9" max="9" width="2.7109375" style="34" customWidth="1"/>
    <col min="10" max="10" width="7.28515625" style="34" hidden="1" customWidth="1"/>
    <col min="11" max="13" width="9.140625" style="34" hidden="1" customWidth="1"/>
    <col min="14" max="14" width="7.85546875" style="34" hidden="1" customWidth="1"/>
    <col min="15" max="15" width="10.85546875" style="34" hidden="1" customWidth="1"/>
    <col min="16" max="16" width="9.140625" style="34" hidden="1" customWidth="1"/>
    <col min="17" max="17" width="4.5703125" style="34" hidden="1" customWidth="1"/>
    <col min="18" max="21" width="6.42578125" style="34" hidden="1" customWidth="1"/>
    <col min="22" max="22" width="3.28515625" style="34" hidden="1" customWidth="1"/>
    <col min="23" max="23" width="6.5703125" style="34" hidden="1" customWidth="1"/>
    <col min="24" max="24" width="14.85546875" style="34" hidden="1" customWidth="1"/>
    <col min="25" max="25" width="8.5703125" style="34" hidden="1" customWidth="1"/>
    <col min="26" max="16384" width="9.140625" style="34" hidden="1"/>
  </cols>
  <sheetData>
    <row r="1" spans="2:24" s="33" customFormat="1" ht="15" x14ac:dyDescent="0.25"/>
    <row r="2" spans="2:24" s="33" customFormat="1" ht="15" x14ac:dyDescent="0.25">
      <c r="B2" s="31"/>
      <c r="C2" s="42" t="s">
        <v>23</v>
      </c>
      <c r="D2" s="43"/>
      <c r="E2" s="44"/>
      <c r="F2" s="45" t="s">
        <v>24</v>
      </c>
      <c r="G2" s="46"/>
      <c r="H2" s="47"/>
      <c r="I2" s="13"/>
      <c r="J2" s="13"/>
      <c r="K2" s="13"/>
      <c r="L2" s="13"/>
      <c r="M2" s="13"/>
      <c r="N2" s="13"/>
      <c r="O2" s="13"/>
    </row>
    <row r="3" spans="2:24" s="33" customFormat="1" ht="55.5" customHeight="1" x14ac:dyDescent="0.25">
      <c r="B3" s="39" t="s">
        <v>49</v>
      </c>
      <c r="C3" s="12" t="s">
        <v>0</v>
      </c>
      <c r="D3" s="12" t="s">
        <v>2</v>
      </c>
      <c r="E3" s="12" t="s">
        <v>1</v>
      </c>
      <c r="F3" s="32" t="s">
        <v>25</v>
      </c>
      <c r="G3" s="32" t="s">
        <v>26</v>
      </c>
      <c r="H3" s="32" t="s">
        <v>27</v>
      </c>
      <c r="I3" s="27" t="s">
        <v>14</v>
      </c>
      <c r="J3" s="23" t="s">
        <v>18</v>
      </c>
      <c r="K3" s="23" t="s">
        <v>15</v>
      </c>
      <c r="L3" s="24" t="s">
        <v>16</v>
      </c>
      <c r="M3" s="24" t="s">
        <v>17</v>
      </c>
      <c r="N3" s="29" t="s">
        <v>21</v>
      </c>
      <c r="O3" s="26" t="s">
        <v>19</v>
      </c>
    </row>
    <row r="4" spans="2:24" s="33" customFormat="1" ht="15" x14ac:dyDescent="0.25">
      <c r="B4" s="36" t="s">
        <v>29</v>
      </c>
      <c r="C4" s="22">
        <v>182</v>
      </c>
      <c r="D4" s="22">
        <v>220.22</v>
      </c>
      <c r="E4" s="22">
        <v>247.51999999999998</v>
      </c>
      <c r="F4" s="22">
        <v>258.44</v>
      </c>
      <c r="G4" s="22">
        <v>269.36</v>
      </c>
      <c r="H4" s="22">
        <v>234.78</v>
      </c>
      <c r="I4" s="28"/>
      <c r="J4" s="14">
        <f>MIN(db[[#This Row],[Базовая цена]:[III]])</f>
        <v>234.78</v>
      </c>
      <c r="K4" s="25">
        <f>IFERROR(COUNT(db[[#This Row],[Базовая цена]:[III]]),0)</f>
        <v>4</v>
      </c>
      <c r="L4" s="15">
        <f>IFERROR(IF(db[[#This Row],[f]]=0,1,(db[[#This Row],[f]]-1)/(FIRMS-1)),1)</f>
        <v>1</v>
      </c>
      <c r="M4" s="15">
        <f>IFERROR(IF(db[[#This Row],[f]]=0,0,1+(1-db[[#This Row],[Alfa]])*4),0)</f>
        <v>1</v>
      </c>
      <c r="N4" s="14">
        <f t="array" ref="N4">IFERROR(IF(AND(db[[#This Row],[f]]=1,db[[#This Row],[Базовая цена]]&gt;0),db[[#This Row],[Базовая цена]],SUM(IF(db[[#This Row],[I]:[III]]&gt;0,db[[#This Row],[I]:[III]]*IdxR,0))/SUM(IF(db[[#This Row],[I]:[III]]&gt;0,IdxR,0))),0)</f>
        <v>254.84882237638698</v>
      </c>
      <c r="O4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4</v>
      </c>
      <c r="Q4" s="17">
        <f>COUNTIF(R4:U4,"&gt;0")</f>
        <v>4</v>
      </c>
      <c r="R4" s="37">
        <f>COUNT(db[Базовая цена])</f>
        <v>20</v>
      </c>
      <c r="S4" s="37">
        <f>COUNT(db[I])</f>
        <v>14</v>
      </c>
      <c r="T4" s="37">
        <f>COUNT(db[II])</f>
        <v>13</v>
      </c>
      <c r="U4" s="37">
        <f>COUNT(db[III])</f>
        <v>12</v>
      </c>
      <c r="W4" s="18">
        <f>IFERROR(AVERAGEIF(db[f],"&gt;0",db[Alfa]),0)</f>
        <v>0.64999999999999991</v>
      </c>
      <c r="X4" s="19" t="str">
        <f>IF(FIRMS&gt;1,INDEX($X$5:$X$11,MATCH(W4,$W$5:$W$11,1),1),"")</f>
        <v>существенная</v>
      </c>
    </row>
    <row r="5" spans="2:24" s="33" customFormat="1" ht="15" x14ac:dyDescent="0.25">
      <c r="B5" s="36" t="s">
        <v>30</v>
      </c>
      <c r="C5" s="22">
        <v>131</v>
      </c>
      <c r="D5" s="22">
        <v>157.19999999999999</v>
      </c>
      <c r="E5" s="22">
        <v>180.77999999999997</v>
      </c>
      <c r="F5" s="22">
        <v>144.10000000000002</v>
      </c>
      <c r="G5" s="22"/>
      <c r="H5" s="22">
        <v>174.23000000000002</v>
      </c>
      <c r="I5" s="28"/>
      <c r="J5" s="14">
        <f>MIN(db[[#This Row],[Базовая цена]:[III]])</f>
        <v>144.10000000000002</v>
      </c>
      <c r="K5" s="25">
        <f>IFERROR(COUNT(db[[#This Row],[Базовая цена]:[III]]),0)</f>
        <v>3</v>
      </c>
      <c r="L5" s="15">
        <f>IFERROR(IF(db[[#This Row],[f]]=0,1,(db[[#This Row],[f]]-1)/(FIRMS-1)),1)</f>
        <v>0.66666666666666663</v>
      </c>
      <c r="M5" s="15">
        <f>IFERROR(IF(db[[#This Row],[f]]=0,0,1+(1-db[[#This Row],[Alfa]])*4),0)</f>
        <v>2.3333333333333335</v>
      </c>
      <c r="N5" s="14">
        <f t="array" ref="N5">IFERROR(IF(AND(db[[#This Row],[f]]=1,db[[#This Row],[Базовая цена]]&gt;0),db[[#This Row],[Базовая цена]],SUM(IF(db[[#This Row],[I]:[III]]&gt;0,db[[#This Row],[I]:[III]]*IdxR,0))/SUM(IF(db[[#This Row],[I]:[III]]&gt;0,IdxR,0))),0)</f>
        <v>157.23172378751764</v>
      </c>
      <c r="O5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3</v>
      </c>
      <c r="S5" s="38">
        <f t="array" ref="S5">IFERROR(SUM(IF(db[I]&gt;0,db[Pmin]/db[I]*db[IdxU],0)),0)</f>
        <v>29.501750990223471</v>
      </c>
      <c r="T5" s="38">
        <f t="array" ref="T5">IFERROR(SUM(IF(db[II]&gt;0,db[Pmin]/db[II]*db[IdxU],0)),0)</f>
        <v>24.218836573794572</v>
      </c>
      <c r="U5" s="38">
        <f t="array" ref="U5">IFERROR(SUM(IF(db[III]&gt;0,db[Pmin]/db[III]*db[IdxU],0)),0)</f>
        <v>22.791066600462191</v>
      </c>
      <c r="W5" s="20">
        <v>0</v>
      </c>
      <c r="X5" s="21" t="s">
        <v>3</v>
      </c>
    </row>
    <row r="6" spans="2:24" s="33" customFormat="1" ht="15" x14ac:dyDescent="0.25">
      <c r="B6" s="36" t="s">
        <v>31</v>
      </c>
      <c r="C6" s="22">
        <v>119</v>
      </c>
      <c r="D6" s="22">
        <v>142.79999999999998</v>
      </c>
      <c r="E6" s="22">
        <v>155.89000000000001</v>
      </c>
      <c r="F6" s="22"/>
      <c r="G6" s="22">
        <v>157.08000000000001</v>
      </c>
      <c r="H6" s="22"/>
      <c r="I6" s="28"/>
      <c r="J6" s="14">
        <f>MIN(db[[#This Row],[Базовая цена]:[III]])</f>
        <v>155.89000000000001</v>
      </c>
      <c r="K6" s="25">
        <f>IFERROR(COUNT(db[[#This Row],[Базовая цена]:[III]]),0)</f>
        <v>2</v>
      </c>
      <c r="L6" s="15">
        <f>IFERROR(IF(db[[#This Row],[f]]=0,1,(db[[#This Row],[f]]-1)/(FIRMS-1)),1)</f>
        <v>0.33333333333333331</v>
      </c>
      <c r="M6" s="15">
        <f>IFERROR(IF(db[[#This Row],[f]]=0,0,1+(1-db[[#This Row],[Alfa]])*4),0)</f>
        <v>3.666666666666667</v>
      </c>
      <c r="N6" s="14">
        <f t="array" ref="N6">IFERROR(IF(AND(db[[#This Row],[f]]=1,db[[#This Row],[Базовая цена]]&gt;0),db[[#This Row],[Базовая цена]],SUM(IF(db[[#This Row],[I]:[III]]&gt;0,db[[#This Row],[I]:[III]]*IdxR,0))/SUM(IF(db[[#This Row],[I]:[III]]&gt;0,IdxR,0))),0)</f>
        <v>157.08000000000001</v>
      </c>
      <c r="O6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5</v>
      </c>
      <c r="S6" s="13"/>
      <c r="T6" s="13"/>
      <c r="U6" s="13"/>
      <c r="W6" s="20">
        <v>0.2</v>
      </c>
      <c r="X6" s="21" t="s">
        <v>4</v>
      </c>
    </row>
    <row r="7" spans="2:24" s="33" customFormat="1" ht="15" x14ac:dyDescent="0.25">
      <c r="B7" s="36" t="s">
        <v>32</v>
      </c>
      <c r="C7" s="22">
        <v>153</v>
      </c>
      <c r="D7" s="22">
        <v>183.6</v>
      </c>
      <c r="E7" s="22">
        <v>208.07999999999998</v>
      </c>
      <c r="F7" s="22"/>
      <c r="G7" s="22">
        <v>211.14</v>
      </c>
      <c r="H7" s="22">
        <v>212.67000000000002</v>
      </c>
      <c r="I7" s="28"/>
      <c r="J7" s="14">
        <f>MIN(db[[#This Row],[Базовая цена]:[III]])</f>
        <v>208.07999999999998</v>
      </c>
      <c r="K7" s="25">
        <f>IFERROR(COUNT(db[[#This Row],[Базовая цена]:[III]]),0)</f>
        <v>3</v>
      </c>
      <c r="L7" s="15">
        <f>IFERROR(IF(db[[#This Row],[f]]=0,1,(db[[#This Row],[f]]-1)/(FIRMS-1)),1)</f>
        <v>0.66666666666666663</v>
      </c>
      <c r="M7" s="15">
        <f>IFERROR(IF(db[[#This Row],[f]]=0,0,1+(1-db[[#This Row],[Alfa]])*4),0)</f>
        <v>2.3333333333333335</v>
      </c>
      <c r="N7" s="14">
        <f t="array" ref="N7">IFERROR(IF(AND(db[[#This Row],[f]]=1,db[[#This Row],[Базовая цена]]&gt;0),db[[#This Row],[Базовая цена]],SUM(IF(db[[#This Row],[I]:[III]]&gt;0,db[[#This Row],[I]:[III]]*IdxR,0))/SUM(IF(db[[#This Row],[I]:[III]]&gt;0,IdxR,0))),0)</f>
        <v>211.88176566093847</v>
      </c>
      <c r="O7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5</v>
      </c>
      <c r="S7" s="13"/>
      <c r="T7" s="13"/>
      <c r="U7" s="13"/>
      <c r="W7" s="20">
        <v>0.4</v>
      </c>
      <c r="X7" s="21" t="s">
        <v>5</v>
      </c>
    </row>
    <row r="8" spans="2:24" s="33" customFormat="1" ht="15" x14ac:dyDescent="0.25">
      <c r="B8" s="36" t="s">
        <v>33</v>
      </c>
      <c r="C8" s="22">
        <v>156</v>
      </c>
      <c r="D8" s="22">
        <v>187.2</v>
      </c>
      <c r="E8" s="22">
        <v>212.15999999999997</v>
      </c>
      <c r="F8" s="22">
        <v>191.88</v>
      </c>
      <c r="G8" s="22"/>
      <c r="H8" s="22"/>
      <c r="I8" s="28"/>
      <c r="J8" s="14">
        <f>MIN(db[[#This Row],[Базовая цена]:[III]])</f>
        <v>191.88</v>
      </c>
      <c r="K8" s="25">
        <f>IFERROR(COUNT(db[[#This Row],[Базовая цена]:[III]]),0)</f>
        <v>2</v>
      </c>
      <c r="L8" s="15">
        <f>IFERROR(IF(db[[#This Row],[f]]=0,1,(db[[#This Row],[f]]-1)/(FIRMS-1)),1)</f>
        <v>0.33333333333333331</v>
      </c>
      <c r="M8" s="15">
        <f>IFERROR(IF(db[[#This Row],[f]]=0,0,1+(1-db[[#This Row],[Alfa]])*4),0)</f>
        <v>3.666666666666667</v>
      </c>
      <c r="N8" s="14">
        <f t="array" ref="N8">IFERROR(IF(AND(db[[#This Row],[f]]=1,db[[#This Row],[Базовая цена]]&gt;0),db[[#This Row],[Базовая цена]],SUM(IF(db[[#This Row],[I]:[III]]&gt;0,db[[#This Row],[I]:[III]]*IdxR,0))/SUM(IF(db[[#This Row],[I]:[III]]&gt;0,IdxR,0))),0)</f>
        <v>191.88000000000002</v>
      </c>
      <c r="O8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3</v>
      </c>
      <c r="S8" s="13"/>
      <c r="T8" s="13"/>
      <c r="U8" s="13"/>
      <c r="W8" s="20">
        <v>0.6</v>
      </c>
      <c r="X8" s="21" t="s">
        <v>6</v>
      </c>
    </row>
    <row r="9" spans="2:24" s="33" customFormat="1" ht="15" x14ac:dyDescent="0.25">
      <c r="B9" s="36" t="s">
        <v>34</v>
      </c>
      <c r="C9" s="22">
        <v>172</v>
      </c>
      <c r="D9" s="22">
        <v>218.44</v>
      </c>
      <c r="E9" s="22">
        <v>228.76000000000002</v>
      </c>
      <c r="F9" s="22">
        <v>223.6</v>
      </c>
      <c r="G9" s="22">
        <v>256.27999999999997</v>
      </c>
      <c r="H9" s="22">
        <v>185.76000000000002</v>
      </c>
      <c r="I9" s="28"/>
      <c r="J9" s="14">
        <f>MIN(db[[#This Row],[Базовая цена]:[III]])</f>
        <v>185.76000000000002</v>
      </c>
      <c r="K9" s="25">
        <f>IFERROR(COUNT(db[[#This Row],[Базовая цена]:[III]]),0)</f>
        <v>4</v>
      </c>
      <c r="L9" s="15">
        <f>IFERROR(IF(db[[#This Row],[f]]=0,1,(db[[#This Row],[f]]-1)/(FIRMS-1)),1)</f>
        <v>1</v>
      </c>
      <c r="M9" s="15">
        <f>IFERROR(IF(db[[#This Row],[f]]=0,0,1+(1-db[[#This Row],[Alfa]])*4),0)</f>
        <v>1</v>
      </c>
      <c r="N9" s="14">
        <f t="array" ref="N9">IFERROR(IF(AND(db[[#This Row],[f]]=1,db[[#This Row],[Базовая цена]]&gt;0),db[[#This Row],[Базовая цена]],SUM(IF(db[[#This Row],[I]:[III]]&gt;0,db[[#This Row],[I]:[III]]*IdxR,0))/SUM(IF(db[[#This Row],[I]:[III]]&gt;0,IdxR,0))),0)</f>
        <v>222.67278986835944</v>
      </c>
      <c r="O9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3</v>
      </c>
      <c r="S9" s="13"/>
      <c r="T9" s="13"/>
      <c r="U9" s="13"/>
      <c r="W9" s="20">
        <v>0.8</v>
      </c>
      <c r="X9" s="21" t="s">
        <v>7</v>
      </c>
    </row>
    <row r="10" spans="2:24" s="33" customFormat="1" ht="15" x14ac:dyDescent="0.25">
      <c r="B10" s="36" t="s">
        <v>35</v>
      </c>
      <c r="C10" s="22">
        <v>159</v>
      </c>
      <c r="D10" s="22">
        <v>201.93</v>
      </c>
      <c r="E10" s="22">
        <v>219.42</v>
      </c>
      <c r="F10" s="22">
        <v>195.57</v>
      </c>
      <c r="G10" s="22"/>
      <c r="H10" s="22"/>
      <c r="I10" s="28"/>
      <c r="J10" s="14">
        <f>MIN(db[[#This Row],[Базовая цена]:[III]])</f>
        <v>195.57</v>
      </c>
      <c r="K10" s="25">
        <f>IFERROR(COUNT(db[[#This Row],[Базовая цена]:[III]]),0)</f>
        <v>2</v>
      </c>
      <c r="L10" s="15">
        <f>IFERROR(IF(db[[#This Row],[f]]=0,1,(db[[#This Row],[f]]-1)/(FIRMS-1)),1)</f>
        <v>0.33333333333333331</v>
      </c>
      <c r="M10" s="15">
        <f>IFERROR(IF(db[[#This Row],[f]]=0,0,1+(1-db[[#This Row],[Alfa]])*4),0)</f>
        <v>3.666666666666667</v>
      </c>
      <c r="N10" s="14">
        <f t="array" ref="N10">IFERROR(IF(AND(db[[#This Row],[f]]=1,db[[#This Row],[Базовая цена]]&gt;0),db[[#This Row],[Базовая цена]],SUM(IF(db[[#This Row],[I]:[III]]&gt;0,db[[#This Row],[I]:[III]]*IdxR,0))/SUM(IF(db[[#This Row],[I]:[III]]&gt;0,IdxR,0))),0)</f>
        <v>195.57</v>
      </c>
      <c r="O10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2</v>
      </c>
      <c r="S10" s="13"/>
      <c r="T10" s="13"/>
      <c r="U10" s="13"/>
      <c r="W10" s="20">
        <v>0.99</v>
      </c>
      <c r="X10" s="21" t="s">
        <v>8</v>
      </c>
    </row>
    <row r="11" spans="2:24" s="33" customFormat="1" ht="15" x14ac:dyDescent="0.25">
      <c r="B11" s="36" t="s">
        <v>36</v>
      </c>
      <c r="C11" s="22">
        <v>109</v>
      </c>
      <c r="D11" s="22">
        <v>132.97999999999999</v>
      </c>
      <c r="E11" s="22">
        <v>142.79</v>
      </c>
      <c r="F11" s="22">
        <v>135.16</v>
      </c>
      <c r="G11" s="22">
        <v>119.9</v>
      </c>
      <c r="H11" s="22"/>
      <c r="I11" s="28"/>
      <c r="J11" s="14">
        <f>MIN(db[[#This Row],[Базовая цена]:[III]])</f>
        <v>119.9</v>
      </c>
      <c r="K11" s="25">
        <f>IFERROR(COUNT(db[[#This Row],[Базовая цена]:[III]]),0)</f>
        <v>3</v>
      </c>
      <c r="L11" s="15">
        <f>IFERROR(IF(db[[#This Row],[f]]=0,1,(db[[#This Row],[f]]-1)/(FIRMS-1)),1)</f>
        <v>0.66666666666666663</v>
      </c>
      <c r="M11" s="15">
        <f>IFERROR(IF(db[[#This Row],[f]]=0,0,1+(1-db[[#This Row],[Alfa]])*4),0)</f>
        <v>2.3333333333333335</v>
      </c>
      <c r="N11" s="14">
        <f t="array" ref="N11">IFERROR(IF(AND(db[[#This Row],[f]]=1,db[[#This Row],[Базовая цена]]&gt;0),db[[#This Row],[Базовая цена]],SUM(IF(db[[#This Row],[I]:[III]]&gt;0,db[[#This Row],[I]:[III]]*IdxR,0))/SUM(IF(db[[#This Row],[I]:[III]]&gt;0,IdxR,0))),0)</f>
        <v>128.28033872161797</v>
      </c>
      <c r="O11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2</v>
      </c>
      <c r="S11" s="13"/>
      <c r="T11" s="13"/>
      <c r="U11" s="13"/>
      <c r="W11" s="20">
        <v>1</v>
      </c>
      <c r="X11" s="21" t="s">
        <v>9</v>
      </c>
    </row>
    <row r="12" spans="2:24" s="33" customFormat="1" ht="15" x14ac:dyDescent="0.25">
      <c r="B12" s="36" t="s">
        <v>37</v>
      </c>
      <c r="C12" s="22">
        <v>191</v>
      </c>
      <c r="D12" s="22">
        <v>233.01999999999998</v>
      </c>
      <c r="E12" s="22">
        <v>252.12</v>
      </c>
      <c r="F12" s="22">
        <v>185</v>
      </c>
      <c r="G12" s="22">
        <v>282.68</v>
      </c>
      <c r="H12" s="22"/>
      <c r="I12" s="28"/>
      <c r="J12" s="14">
        <f>MIN(db[[#This Row],[Базовая цена]:[III]])</f>
        <v>185</v>
      </c>
      <c r="K12" s="25">
        <f>IFERROR(COUNT(db[[#This Row],[Базовая цена]:[III]]),0)</f>
        <v>3</v>
      </c>
      <c r="L12" s="15">
        <f>IFERROR(IF(db[[#This Row],[f]]=0,1,(db[[#This Row],[f]]-1)/(FIRMS-1)),1)</f>
        <v>0.66666666666666663</v>
      </c>
      <c r="M12" s="15">
        <f>IFERROR(IF(db[[#This Row],[f]]=0,0,1+(1-db[[#This Row],[Alfa]])*4),0)</f>
        <v>2.3333333333333335</v>
      </c>
      <c r="N12" s="14">
        <f t="array" ref="N12">IFERROR(IF(AND(db[[#This Row],[f]]=1,db[[#This Row],[Базовая цена]]&gt;0),db[[#This Row],[Базовая цена]],SUM(IF(db[[#This Row],[I]:[III]]&gt;0,db[[#This Row],[I]:[III]]*IdxR,0))/SUM(IF(db[[#This Row],[I]:[III]]&gt;0,IdxR,0))),0)</f>
        <v>229.03704545690397</v>
      </c>
      <c r="O12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2</v>
      </c>
      <c r="S12" s="13"/>
      <c r="T12" s="13"/>
      <c r="U12" s="13"/>
    </row>
    <row r="13" spans="2:24" s="33" customFormat="1" ht="15" x14ac:dyDescent="0.25">
      <c r="B13" s="36" t="s">
        <v>38</v>
      </c>
      <c r="C13" s="22">
        <v>113</v>
      </c>
      <c r="D13" s="22">
        <v>141.25</v>
      </c>
      <c r="E13" s="22">
        <v>157.07000000000002</v>
      </c>
      <c r="F13" s="22">
        <v>160.45999999999998</v>
      </c>
      <c r="G13" s="22"/>
      <c r="H13" s="22">
        <v>125.43</v>
      </c>
      <c r="I13" s="28"/>
      <c r="J13" s="14">
        <f>MIN(db[[#This Row],[Базовая цена]:[III]])</f>
        <v>125.43</v>
      </c>
      <c r="K13" s="25">
        <f>IFERROR(COUNT(db[[#This Row],[Базовая цена]:[III]]),0)</f>
        <v>3</v>
      </c>
      <c r="L13" s="15">
        <f>IFERROR(IF(db[[#This Row],[f]]=0,1,(db[[#This Row],[f]]-1)/(FIRMS-1)),1)</f>
        <v>0.66666666666666663</v>
      </c>
      <c r="M13" s="15">
        <f>IFERROR(IF(db[[#This Row],[f]]=0,0,1+(1-db[[#This Row],[Alfa]])*4),0)</f>
        <v>2.3333333333333335</v>
      </c>
      <c r="N13" s="14">
        <f t="array" ref="N13">IFERROR(IF(AND(db[[#This Row],[f]]=1,db[[#This Row],[Базовая цена]]&gt;0),db[[#This Row],[Базовая цена]],SUM(IF(db[[#This Row],[I]:[III]]&gt;0,db[[#This Row],[I]:[III]]*IdxR,0))/SUM(IF(db[[#This Row],[I]:[III]]&gt;0,IdxR,0))),0)</f>
        <v>145.19268223442609</v>
      </c>
      <c r="O13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3</v>
      </c>
      <c r="S13" s="13"/>
      <c r="T13" s="13"/>
      <c r="U13" s="13"/>
    </row>
    <row r="14" spans="2:24" s="33" customFormat="1" ht="15" x14ac:dyDescent="0.25">
      <c r="B14" s="36" t="s">
        <v>39</v>
      </c>
      <c r="C14" s="22">
        <v>238</v>
      </c>
      <c r="D14" s="22">
        <v>287.98</v>
      </c>
      <c r="E14" s="22">
        <v>316.54000000000002</v>
      </c>
      <c r="F14" s="22">
        <v>297.5</v>
      </c>
      <c r="G14" s="22">
        <v>326.06</v>
      </c>
      <c r="H14" s="22">
        <v>252.28</v>
      </c>
      <c r="I14" s="28"/>
      <c r="J14" s="14">
        <f>MIN(db[[#This Row],[Базовая цена]:[III]])</f>
        <v>252.28</v>
      </c>
      <c r="K14" s="25">
        <f>IFERROR(COUNT(db[[#This Row],[Базовая цена]:[III]]),0)</f>
        <v>4</v>
      </c>
      <c r="L14" s="15">
        <f>IFERROR(IF(db[[#This Row],[f]]=0,1,(db[[#This Row],[f]]-1)/(FIRMS-1)),1)</f>
        <v>1</v>
      </c>
      <c r="M14" s="15">
        <f>IFERROR(IF(db[[#This Row],[f]]=0,0,1+(1-db[[#This Row],[Alfa]])*4),0)</f>
        <v>1</v>
      </c>
      <c r="N14" s="14">
        <f t="array" ref="N14">IFERROR(IF(AND(db[[#This Row],[f]]=1,db[[#This Row],[Базовая цена]]&gt;0),db[[#This Row],[Базовая цена]],SUM(IF(db[[#This Row],[I]:[III]]&gt;0,db[[#This Row],[I]:[III]]*IdxR,0))/SUM(IF(db[[#This Row],[I]:[III]]&gt;0,IdxR,0))),0)</f>
        <v>293.07032111217029</v>
      </c>
      <c r="O14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3</v>
      </c>
    </row>
    <row r="15" spans="2:24" s="33" customFormat="1" ht="15" x14ac:dyDescent="0.25">
      <c r="B15" s="36" t="s">
        <v>40</v>
      </c>
      <c r="C15" s="22">
        <v>204</v>
      </c>
      <c r="D15" s="22">
        <v>265.2</v>
      </c>
      <c r="E15" s="22">
        <v>273.36</v>
      </c>
      <c r="F15" s="22">
        <v>295.8</v>
      </c>
      <c r="G15" s="22">
        <v>263.16000000000003</v>
      </c>
      <c r="H15" s="22"/>
      <c r="I15" s="28"/>
      <c r="J15" s="14">
        <f>MIN(db[[#This Row],[Базовая цена]:[III]])</f>
        <v>263.16000000000003</v>
      </c>
      <c r="K15" s="25">
        <f>IFERROR(COUNT(db[[#This Row],[Базовая цена]:[III]]),0)</f>
        <v>3</v>
      </c>
      <c r="L15" s="15">
        <f>IFERROR(IF(db[[#This Row],[f]]=0,1,(db[[#This Row],[f]]-1)/(FIRMS-1)),1)</f>
        <v>0.66666666666666663</v>
      </c>
      <c r="M15" s="15">
        <f>IFERROR(IF(db[[#This Row],[f]]=0,0,1+(1-db[[#This Row],[Alfa]])*4),0)</f>
        <v>2.3333333333333335</v>
      </c>
      <c r="N15" s="14">
        <f t="array" ref="N15">IFERROR(IF(AND(db[[#This Row],[f]]=1,db[[#This Row],[Базовая цена]]&gt;0),db[[#This Row],[Базовая цена]],SUM(IF(db[[#This Row],[I]:[III]]&gt;0,db[[#This Row],[I]:[III]]*IdxR,0))/SUM(IF(db[[#This Row],[I]:[III]]&gt;0,IdxR,0))),0)</f>
        <v>281.08491847140306</v>
      </c>
      <c r="O15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4</v>
      </c>
    </row>
    <row r="16" spans="2:24" s="33" customFormat="1" ht="15" x14ac:dyDescent="0.25">
      <c r="B16" s="36" t="s">
        <v>41</v>
      </c>
      <c r="C16" s="22">
        <v>223</v>
      </c>
      <c r="D16" s="22">
        <v>276.52</v>
      </c>
      <c r="E16" s="22">
        <v>309.97000000000003</v>
      </c>
      <c r="F16" s="22">
        <v>220</v>
      </c>
      <c r="G16" s="22"/>
      <c r="H16" s="22">
        <v>280.98</v>
      </c>
      <c r="I16" s="28"/>
      <c r="J16" s="14">
        <f>MIN(db[[#This Row],[Базовая цена]:[III]])</f>
        <v>220</v>
      </c>
      <c r="K16" s="25">
        <f>IFERROR(COUNT(db[[#This Row],[Базовая цена]:[III]]),0)</f>
        <v>3</v>
      </c>
      <c r="L16" s="15">
        <f>IFERROR(IF(db[[#This Row],[f]]=0,1,(db[[#This Row],[f]]-1)/(FIRMS-1)),1)</f>
        <v>0.66666666666666663</v>
      </c>
      <c r="M16" s="15">
        <f>IFERROR(IF(db[[#This Row],[f]]=0,0,1+(1-db[[#This Row],[Alfa]])*4),0)</f>
        <v>2.3333333333333335</v>
      </c>
      <c r="N16" s="14">
        <f t="array" ref="N16">IFERROR(IF(AND(db[[#This Row],[f]]=1,db[[#This Row],[Базовая цена]]&gt;0),db[[#This Row],[Базовая цена]],SUM(IF(db[[#This Row],[I]:[III]]&gt;0,db[[#This Row],[I]:[III]]*IdxR,0))/SUM(IF(db[[#This Row],[I]:[III]]&gt;0,IdxR,0))),0)</f>
        <v>246.57724913915777</v>
      </c>
      <c r="O16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2</v>
      </c>
    </row>
    <row r="17" spans="2:15" s="33" customFormat="1" ht="15" x14ac:dyDescent="0.25">
      <c r="B17" s="36" t="s">
        <v>42</v>
      </c>
      <c r="C17" s="22">
        <v>255</v>
      </c>
      <c r="D17" s="22">
        <v>326.40000000000003</v>
      </c>
      <c r="E17" s="22">
        <v>331.5</v>
      </c>
      <c r="F17" s="22">
        <v>346.79999999999995</v>
      </c>
      <c r="G17" s="22">
        <v>308.55</v>
      </c>
      <c r="H17" s="22"/>
      <c r="I17" s="28"/>
      <c r="J17" s="14">
        <f>MIN(db[[#This Row],[Базовая цена]:[III]])</f>
        <v>308.55</v>
      </c>
      <c r="K17" s="25">
        <f>IFERROR(COUNT(db[[#This Row],[Базовая цена]:[III]]),0)</f>
        <v>3</v>
      </c>
      <c r="L17" s="15">
        <f>IFERROR(IF(db[[#This Row],[f]]=0,1,(db[[#This Row],[f]]-1)/(FIRMS-1)),1)</f>
        <v>0.66666666666666663</v>
      </c>
      <c r="M17" s="15">
        <f>IFERROR(IF(db[[#This Row],[f]]=0,0,1+(1-db[[#This Row],[Alfa]])*4),0)</f>
        <v>2.3333333333333335</v>
      </c>
      <c r="N17" s="14">
        <f t="array" ref="N17">IFERROR(IF(AND(db[[#This Row],[f]]=1,db[[#This Row],[Базовая цена]]&gt;0),db[[#This Row],[Базовая цена]],SUM(IF(db[[#This Row],[I]:[III]]&gt;0,db[[#This Row],[I]:[III]]*IdxR,0))/SUM(IF(db[[#This Row],[I]:[III]]&gt;0,IdxR,0))),0)</f>
        <v>329.55576383367548</v>
      </c>
      <c r="O17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3</v>
      </c>
    </row>
    <row r="18" spans="2:15" s="33" customFormat="1" ht="15" x14ac:dyDescent="0.25">
      <c r="B18" s="36" t="s">
        <v>43</v>
      </c>
      <c r="C18" s="22">
        <v>290</v>
      </c>
      <c r="D18" s="22">
        <v>348</v>
      </c>
      <c r="E18" s="22">
        <v>403.1</v>
      </c>
      <c r="F18" s="22"/>
      <c r="G18" s="22"/>
      <c r="H18" s="22">
        <v>320</v>
      </c>
      <c r="I18" s="28"/>
      <c r="J18" s="14">
        <f>MIN(db[[#This Row],[Базовая цена]:[III]])</f>
        <v>320</v>
      </c>
      <c r="K18" s="25">
        <f>IFERROR(COUNT(db[[#This Row],[Базовая цена]:[III]]),0)</f>
        <v>2</v>
      </c>
      <c r="L18" s="15">
        <f>IFERROR(IF(db[[#This Row],[f]]=0,1,(db[[#This Row],[f]]-1)/(FIRMS-1)),1)</f>
        <v>0.33333333333333331</v>
      </c>
      <c r="M18" s="15">
        <f>IFERROR(IF(db[[#This Row],[f]]=0,0,1+(1-db[[#This Row],[Alfa]])*4),0)</f>
        <v>3.666666666666667</v>
      </c>
      <c r="N18" s="14">
        <f t="array" ref="N18">IFERROR(IF(AND(db[[#This Row],[f]]=1,db[[#This Row],[Базовая цена]]&gt;0),db[[#This Row],[Базовая цена]],SUM(IF(db[[#This Row],[I]:[III]]&gt;0,db[[#This Row],[I]:[III]]*IdxR,0))/SUM(IF(db[[#This Row],[I]:[III]]&gt;0,IdxR,0))),0)</f>
        <v>320</v>
      </c>
      <c r="O18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2</v>
      </c>
    </row>
    <row r="19" spans="2:15" s="33" customFormat="1" ht="15" x14ac:dyDescent="0.25">
      <c r="B19" s="36" t="s">
        <v>44</v>
      </c>
      <c r="C19" s="22">
        <v>202</v>
      </c>
      <c r="D19" s="22">
        <v>250.48</v>
      </c>
      <c r="E19" s="22">
        <v>266.64</v>
      </c>
      <c r="F19" s="22"/>
      <c r="G19" s="22">
        <v>264.62</v>
      </c>
      <c r="H19" s="22">
        <v>230.28000000000003</v>
      </c>
      <c r="I19" s="28"/>
      <c r="J19" s="14">
        <f>MIN(db[[#This Row],[Базовая цена]:[III]])</f>
        <v>230.28000000000003</v>
      </c>
      <c r="K19" s="25">
        <f>IFERROR(COUNT(db[[#This Row],[Базовая цена]:[III]]),0)</f>
        <v>3</v>
      </c>
      <c r="L19" s="15">
        <f>IFERROR(IF(db[[#This Row],[f]]=0,1,(db[[#This Row],[f]]-1)/(FIRMS-1)),1)</f>
        <v>0.66666666666666663</v>
      </c>
      <c r="M19" s="15">
        <f>IFERROR(IF(db[[#This Row],[f]]=0,0,1+(1-db[[#This Row],[Alfa]])*4),0)</f>
        <v>2.3333333333333335</v>
      </c>
      <c r="N19" s="14">
        <f t="array" ref="N19">IFERROR(IF(AND(db[[#This Row],[f]]=1,db[[#This Row],[Базовая цена]]&gt;0),db[[#This Row],[Базовая цена]],SUM(IF(db[[#This Row],[I]:[III]]&gt;0,db[[#This Row],[I]:[III]]*IdxR,0))/SUM(IF(db[[#This Row],[I]:[III]]&gt;0,IdxR,0))),0)</f>
        <v>247.97148183226938</v>
      </c>
      <c r="O19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2</v>
      </c>
    </row>
    <row r="20" spans="2:15" s="33" customFormat="1" ht="15" x14ac:dyDescent="0.25">
      <c r="B20" s="36" t="s">
        <v>45</v>
      </c>
      <c r="C20" s="22">
        <v>211</v>
      </c>
      <c r="D20" s="22">
        <v>257.42</v>
      </c>
      <c r="E20" s="22">
        <v>293.29000000000002</v>
      </c>
      <c r="F20" s="22">
        <v>251.08999999999997</v>
      </c>
      <c r="G20" s="22"/>
      <c r="H20" s="22"/>
      <c r="I20" s="28"/>
      <c r="J20" s="14">
        <f>MIN(db[[#This Row],[Базовая цена]:[III]])</f>
        <v>251.08999999999997</v>
      </c>
      <c r="K20" s="25">
        <f>IFERROR(COUNT(db[[#This Row],[Базовая цена]:[III]]),0)</f>
        <v>2</v>
      </c>
      <c r="L20" s="15">
        <f>IFERROR(IF(db[[#This Row],[f]]=0,1,(db[[#This Row],[f]]-1)/(FIRMS-1)),1)</f>
        <v>0.33333333333333331</v>
      </c>
      <c r="M20" s="15">
        <f>IFERROR(IF(db[[#This Row],[f]]=0,0,1+(1-db[[#This Row],[Alfa]])*4),0)</f>
        <v>3.666666666666667</v>
      </c>
      <c r="N20" s="14">
        <f t="array" ref="N20">IFERROR(IF(AND(db[[#This Row],[f]]=1,db[[#This Row],[Базовая цена]]&gt;0),db[[#This Row],[Базовая цена]],SUM(IF(db[[#This Row],[I]:[III]]&gt;0,db[[#This Row],[I]:[III]]*IdxR,0))/SUM(IF(db[[#This Row],[I]:[III]]&gt;0,IdxR,0))),0)</f>
        <v>251.08999999999997</v>
      </c>
      <c r="O20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2</v>
      </c>
    </row>
    <row r="21" spans="2:15" s="33" customFormat="1" ht="15" x14ac:dyDescent="0.25">
      <c r="B21" s="36" t="s">
        <v>46</v>
      </c>
      <c r="C21" s="22">
        <v>204</v>
      </c>
      <c r="D21" s="22">
        <v>265.2</v>
      </c>
      <c r="E21" s="22">
        <v>281.52</v>
      </c>
      <c r="F21" s="22"/>
      <c r="G21" s="22">
        <v>295.8</v>
      </c>
      <c r="H21" s="22">
        <v>283.56</v>
      </c>
      <c r="I21" s="28"/>
      <c r="J21" s="14">
        <f>MIN(db[[#This Row],[Базовая цена]:[III]])</f>
        <v>281.52</v>
      </c>
      <c r="K21" s="25">
        <f>IFERROR(COUNT(db[[#This Row],[Базовая цена]:[III]]),0)</f>
        <v>3</v>
      </c>
      <c r="L21" s="15">
        <f>IFERROR(IF(db[[#This Row],[f]]=0,1,(db[[#This Row],[f]]-1)/(FIRMS-1)),1)</f>
        <v>0.66666666666666663</v>
      </c>
      <c r="M21" s="15">
        <f>IFERROR(IF(db[[#This Row],[f]]=0,0,1+(1-db[[#This Row],[Alfa]])*4),0)</f>
        <v>2.3333333333333335</v>
      </c>
      <c r="N21" s="14">
        <f t="array" ref="N21">IFERROR(IF(AND(db[[#This Row],[f]]=1,db[[#This Row],[Базовая цена]]&gt;0),db[[#This Row],[Базовая цена]],SUM(IF(db[[#This Row],[I]:[III]]&gt;0,db[[#This Row],[I]:[III]]*IdxR,0))/SUM(IF(db[[#This Row],[I]:[III]]&gt;0,IdxR,0))),0)</f>
        <v>289.86587471249203</v>
      </c>
      <c r="O21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5</v>
      </c>
    </row>
    <row r="22" spans="2:15" s="33" customFormat="1" ht="15" x14ac:dyDescent="0.25">
      <c r="B22" s="36" t="s">
        <v>47</v>
      </c>
      <c r="C22" s="22">
        <v>271</v>
      </c>
      <c r="D22" s="22">
        <v>333.33</v>
      </c>
      <c r="E22" s="22">
        <v>357.72</v>
      </c>
      <c r="F22" s="22">
        <v>330.62</v>
      </c>
      <c r="G22" s="22">
        <v>287.26</v>
      </c>
      <c r="H22" s="22">
        <v>373.97999999999996</v>
      </c>
      <c r="I22" s="28"/>
      <c r="J22" s="14">
        <f>MIN(db[[#This Row],[Базовая цена]:[III]])</f>
        <v>287.26</v>
      </c>
      <c r="K22" s="25">
        <f>IFERROR(COUNT(db[[#This Row],[Базовая цена]:[III]]),0)</f>
        <v>4</v>
      </c>
      <c r="L22" s="15">
        <f>IFERROR(IF(db[[#This Row],[f]]=0,1,(db[[#This Row],[f]]-1)/(FIRMS-1)),1)</f>
        <v>1</v>
      </c>
      <c r="M22" s="15">
        <f>IFERROR(IF(db[[#This Row],[f]]=0,0,1+(1-db[[#This Row],[Alfa]])*4),0)</f>
        <v>1</v>
      </c>
      <c r="N22" s="14">
        <f t="array" ref="N22">IFERROR(IF(AND(db[[#This Row],[f]]=1,db[[#This Row],[Базовая цена]]&gt;0),db[[#This Row],[Базовая цена]],SUM(IF(db[[#This Row],[I]:[III]]&gt;0,db[[#This Row],[I]:[III]]*IdxR,0))/SUM(IF(db[[#This Row],[I]:[III]]&gt;0,IdxR,0))),0)</f>
        <v>329.81086697680581</v>
      </c>
      <c r="O22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2</v>
      </c>
    </row>
    <row r="23" spans="2:15" s="33" customFormat="1" ht="15" x14ac:dyDescent="0.25">
      <c r="B23" s="36" t="s">
        <v>48</v>
      </c>
      <c r="C23" s="22">
        <v>206</v>
      </c>
      <c r="D23" s="22">
        <v>267.8</v>
      </c>
      <c r="E23" s="22">
        <v>282.22000000000003</v>
      </c>
      <c r="F23" s="22"/>
      <c r="G23" s="22">
        <v>197</v>
      </c>
      <c r="H23" s="22">
        <v>180</v>
      </c>
      <c r="I23" s="28"/>
      <c r="J23" s="14">
        <f>MIN(db[[#This Row],[Базовая цена]:[III]])</f>
        <v>180</v>
      </c>
      <c r="K23" s="25">
        <f>IFERROR(COUNT(db[[#This Row],[Базовая цена]:[III]]),0)</f>
        <v>3</v>
      </c>
      <c r="L23" s="15">
        <f>IFERROR(IF(db[[#This Row],[f]]=0,1,(db[[#This Row],[f]]-1)/(FIRMS-1)),1)</f>
        <v>0.66666666666666663</v>
      </c>
      <c r="M23" s="15">
        <f>IFERROR(IF(db[[#This Row],[f]]=0,0,1+(1-db[[#This Row],[Alfa]])*4),0)</f>
        <v>2.3333333333333335</v>
      </c>
      <c r="N23" s="14">
        <f t="array" ref="N23">IFERROR(IF(AND(db[[#This Row],[f]]=1,db[[#This Row],[Базовая цена]]&gt;0),db[[#This Row],[Базовая цена]],SUM(IF(db[[#This Row],[I]:[III]]&gt;0,db[[#This Row],[I]:[III]]*IdxR,0))/SUM(IF(db[[#This Row],[I]:[III]]&gt;0,IdxR,0))),0)</f>
        <v>188.75815932290564</v>
      </c>
      <c r="O23" s="16">
        <f>IFERROR(IF(db[[#This Row],[f]]&gt;0,IF(db[[#This Row],[Цена закупки]]&gt;=db[[#This Row],[P*]],1,IF(db[[#This Row],[Базовая цена мин.]]&gt;=db[[#This Row],[P*]],2,IF(db[[#This Row],[Базовая цена]]&gt;db[[#This Row],[P*]],3,IF(db[[#This Row],[Базовая цена]]=db[[#This Row],[Pmin]],5,4)))),0),0)</f>
        <v>1</v>
      </c>
    </row>
    <row r="24" spans="2:15" x14ac:dyDescent="0.2"/>
  </sheetData>
  <sheetProtection password="D65C" sheet="1" objects="1" scenarios="1" formatColumns="0" selectLockedCells="1"/>
  <mergeCells count="2">
    <mergeCell ref="C2:E2"/>
    <mergeCell ref="F2:H2"/>
  </mergeCells>
  <dataValidations count="1">
    <dataValidation type="decimal" operator="greaterThan" allowBlank="1" showInputMessage="1" showErrorMessage="1" errorTitle="INFORT.SMA" error="Введите положительное число." sqref="C4:H23">
      <formula1>0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</vt:i4>
      </vt:variant>
    </vt:vector>
  </HeadingPairs>
  <TitlesOfParts>
    <vt:vector size="5" baseType="lpstr">
      <vt:lpstr>SMA</vt:lpstr>
      <vt:lpstr>price.table</vt:lpstr>
      <vt:lpstr>FIRMS</vt:lpstr>
      <vt:lpstr>IdxR</vt:lpstr>
      <vt:lpstr>SKU</vt:lpstr>
    </vt:vector>
  </TitlesOfParts>
  <Company>INFORT 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Конкурентный анализ территории продаж</dc:subject>
  <dc:creator>INFORT.Group</dc:creator>
  <cp:lastModifiedBy>Степанов Вадим</cp:lastModifiedBy>
  <cp:lastPrinted>2023-08-24T10:38:42Z</cp:lastPrinted>
  <dcterms:created xsi:type="dcterms:W3CDTF">2022-08-23T06:44:39Z</dcterms:created>
  <dcterms:modified xsi:type="dcterms:W3CDTF">2026-03-02T08:35:34Z</dcterms:modified>
  <cp:category>INFORT.Исследования</cp:category>
</cp:coreProperties>
</file>